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ЭтаКнига" defaultThemeVersion="124226"/>
  <bookViews>
    <workbookView xWindow="120" yWindow="120" windowWidth="9720" windowHeight="7320" tabRatio="908" activeTab="1"/>
  </bookViews>
  <sheets>
    <sheet name="SUMMARY   " sheetId="89" r:id="rId1"/>
    <sheet name="Smeta" sheetId="90" r:id="rId2"/>
  </sheets>
  <definedNames>
    <definedName name="_24" localSheetId="0">#REF!</definedName>
    <definedName name="_24">#REF!</definedName>
    <definedName name="khg">#REF!</definedName>
    <definedName name="Ñ·¹Ï">#REF!</definedName>
    <definedName name="Ñ·¹óÏÑýÏõÁýÏõÁ">#REF!</definedName>
    <definedName name="_xlnm.Print_Titles" localSheetId="1">Smeta!$17:$17</definedName>
    <definedName name="_xlnm.Print_Titles" localSheetId="0">'SUMMARY   '!$15:$15</definedName>
    <definedName name="_xlnm.Print_Area" localSheetId="1">Smeta!$A$1:$O$154</definedName>
    <definedName name="_xlnm.Print_Area" localSheetId="0">'SUMMARY   '!$A$1:$I$47</definedName>
  </definedNames>
  <calcPr calcId="124519"/>
</workbook>
</file>

<file path=xl/calcChain.xml><?xml version="1.0" encoding="utf-8"?>
<calcChain xmlns="http://schemas.openxmlformats.org/spreadsheetml/2006/main">
  <c r="G133" i="90"/>
  <c r="I133"/>
  <c r="G132"/>
  <c r="I132"/>
  <c r="S132" s="1"/>
  <c r="G131"/>
  <c r="I131"/>
  <c r="S131" s="1"/>
  <c r="U118"/>
  <c r="T118"/>
  <c r="S118"/>
  <c r="S117"/>
  <c r="M117"/>
  <c r="U117" s="1"/>
  <c r="K117"/>
  <c r="T117" s="1"/>
  <c r="U141"/>
  <c r="T141"/>
  <c r="S141"/>
  <c r="U140"/>
  <c r="T140"/>
  <c r="S140"/>
  <c r="U139"/>
  <c r="T139"/>
  <c r="I139"/>
  <c r="S139" s="1"/>
  <c r="M138"/>
  <c r="U138" s="1"/>
  <c r="K138"/>
  <c r="T138" s="1"/>
  <c r="U129"/>
  <c r="T129"/>
  <c r="I129"/>
  <c r="S129" s="1"/>
  <c r="M128"/>
  <c r="U128" s="1"/>
  <c r="K128"/>
  <c r="T128" s="1"/>
  <c r="U127"/>
  <c r="T127"/>
  <c r="S127"/>
  <c r="U126"/>
  <c r="T126"/>
  <c r="I126"/>
  <c r="S126" s="1"/>
  <c r="M125"/>
  <c r="U125" s="1"/>
  <c r="K125"/>
  <c r="T125" s="1"/>
  <c r="V136"/>
  <c r="U136"/>
  <c r="T136"/>
  <c r="I136"/>
  <c r="S136"/>
  <c r="V137"/>
  <c r="U137"/>
  <c r="T137"/>
  <c r="S137"/>
  <c r="M135"/>
  <c r="U135"/>
  <c r="K135"/>
  <c r="T135" s="1"/>
  <c r="U133"/>
  <c r="T133"/>
  <c r="U132"/>
  <c r="T132"/>
  <c r="U131"/>
  <c r="T131"/>
  <c r="L130"/>
  <c r="M130" s="1"/>
  <c r="J130"/>
  <c r="K130"/>
  <c r="T130" s="1"/>
  <c r="U124"/>
  <c r="T124"/>
  <c r="S124"/>
  <c r="U123"/>
  <c r="T123"/>
  <c r="I123"/>
  <c r="S123"/>
  <c r="M122"/>
  <c r="U122" s="1"/>
  <c r="J122"/>
  <c r="K122" s="1"/>
  <c r="U121"/>
  <c r="T121"/>
  <c r="S121"/>
  <c r="U120"/>
  <c r="T120"/>
  <c r="I120"/>
  <c r="S120" s="1"/>
  <c r="M119"/>
  <c r="U119" s="1"/>
  <c r="K119"/>
  <c r="T119" s="1"/>
  <c r="U97"/>
  <c r="T97"/>
  <c r="I97"/>
  <c r="S97" s="1"/>
  <c r="U96"/>
  <c r="T96"/>
  <c r="I96"/>
  <c r="S96" s="1"/>
  <c r="U95"/>
  <c r="T95"/>
  <c r="I95"/>
  <c r="S95" s="1"/>
  <c r="M94"/>
  <c r="K94"/>
  <c r="U108"/>
  <c r="T108"/>
  <c r="S108"/>
  <c r="U107"/>
  <c r="S107"/>
  <c r="K107"/>
  <c r="N107" s="1"/>
  <c r="O107" s="1"/>
  <c r="E92"/>
  <c r="S92"/>
  <c r="U106"/>
  <c r="T106"/>
  <c r="S106"/>
  <c r="U105"/>
  <c r="T105"/>
  <c r="I105"/>
  <c r="S105" s="1"/>
  <c r="L104"/>
  <c r="M104" s="1"/>
  <c r="J104"/>
  <c r="K104"/>
  <c r="E101"/>
  <c r="U101"/>
  <c r="U103"/>
  <c r="T103"/>
  <c r="S103"/>
  <c r="U102"/>
  <c r="T102"/>
  <c r="I102"/>
  <c r="S102" s="1"/>
  <c r="K101"/>
  <c r="T101" s="1"/>
  <c r="E98"/>
  <c r="U100"/>
  <c r="T100"/>
  <c r="S100"/>
  <c r="U99"/>
  <c r="T99"/>
  <c r="I99"/>
  <c r="S99" s="1"/>
  <c r="M98"/>
  <c r="U98" s="1"/>
  <c r="K98"/>
  <c r="U93"/>
  <c r="T93"/>
  <c r="S93"/>
  <c r="U92"/>
  <c r="K92"/>
  <c r="M113"/>
  <c r="N113" s="1"/>
  <c r="O113" s="1"/>
  <c r="J87"/>
  <c r="K87"/>
  <c r="U29"/>
  <c r="T29"/>
  <c r="S29"/>
  <c r="U28"/>
  <c r="T28"/>
  <c r="S28"/>
  <c r="U49"/>
  <c r="T49"/>
  <c r="S49"/>
  <c r="U48"/>
  <c r="T48"/>
  <c r="S48"/>
  <c r="U83"/>
  <c r="T83"/>
  <c r="S83"/>
  <c r="U82"/>
  <c r="T82"/>
  <c r="S82"/>
  <c r="U90"/>
  <c r="T90"/>
  <c r="S90"/>
  <c r="U89"/>
  <c r="T89"/>
  <c r="S89"/>
  <c r="U81"/>
  <c r="T81"/>
  <c r="S81"/>
  <c r="U80"/>
  <c r="T80"/>
  <c r="I80"/>
  <c r="S80" s="1"/>
  <c r="U79"/>
  <c r="T79"/>
  <c r="I79"/>
  <c r="S79" s="1"/>
  <c r="U78"/>
  <c r="T78"/>
  <c r="I78"/>
  <c r="S78" s="1"/>
  <c r="M77"/>
  <c r="K77"/>
  <c r="E77"/>
  <c r="U77" s="1"/>
  <c r="E20"/>
  <c r="T113"/>
  <c r="S113"/>
  <c r="U113"/>
  <c r="U112"/>
  <c r="T112"/>
  <c r="S112"/>
  <c r="U111"/>
  <c r="S111"/>
  <c r="K111"/>
  <c r="U110"/>
  <c r="T110"/>
  <c r="S110"/>
  <c r="U109"/>
  <c r="S109"/>
  <c r="K109"/>
  <c r="T109" s="1"/>
  <c r="U88"/>
  <c r="T88"/>
  <c r="S88"/>
  <c r="U87"/>
  <c r="S87"/>
  <c r="U86"/>
  <c r="T86"/>
  <c r="S86"/>
  <c r="K85"/>
  <c r="N85" s="1"/>
  <c r="O85" s="1"/>
  <c r="O89" s="1"/>
  <c r="U85"/>
  <c r="E53"/>
  <c r="U53"/>
  <c r="U72"/>
  <c r="T72"/>
  <c r="S72"/>
  <c r="U71"/>
  <c r="T71"/>
  <c r="I71"/>
  <c r="S71" s="1"/>
  <c r="U70"/>
  <c r="T70"/>
  <c r="I70"/>
  <c r="S70" s="1"/>
  <c r="U69"/>
  <c r="T69"/>
  <c r="I69"/>
  <c r="S69" s="1"/>
  <c r="M68"/>
  <c r="U68" s="1"/>
  <c r="K68"/>
  <c r="T68" s="1"/>
  <c r="E64"/>
  <c r="U54"/>
  <c r="T54"/>
  <c r="S54"/>
  <c r="K53"/>
  <c r="T53"/>
  <c r="U75"/>
  <c r="T75"/>
  <c r="I75"/>
  <c r="S75"/>
  <c r="U74"/>
  <c r="T74"/>
  <c r="I74"/>
  <c r="S74"/>
  <c r="M73"/>
  <c r="U73"/>
  <c r="J73"/>
  <c r="K73"/>
  <c r="U67"/>
  <c r="T67"/>
  <c r="S67"/>
  <c r="U66"/>
  <c r="T66"/>
  <c r="I66"/>
  <c r="S66" s="1"/>
  <c r="U65"/>
  <c r="T65"/>
  <c r="I65"/>
  <c r="S65" s="1"/>
  <c r="M64"/>
  <c r="K64"/>
  <c r="T64" s="1"/>
  <c r="U63"/>
  <c r="T63"/>
  <c r="S63"/>
  <c r="U62"/>
  <c r="T62"/>
  <c r="H62"/>
  <c r="I62"/>
  <c r="M61"/>
  <c r="K61"/>
  <c r="T61" s="1"/>
  <c r="H59"/>
  <c r="I59" s="1"/>
  <c r="H56"/>
  <c r="I56" s="1"/>
  <c r="U52"/>
  <c r="T52"/>
  <c r="S52"/>
  <c r="S51"/>
  <c r="M51"/>
  <c r="U51" s="1"/>
  <c r="K51"/>
  <c r="T51" s="1"/>
  <c r="U60"/>
  <c r="T60"/>
  <c r="S60"/>
  <c r="U59"/>
  <c r="T59"/>
  <c r="M58"/>
  <c r="U58"/>
  <c r="K58"/>
  <c r="U57"/>
  <c r="T57"/>
  <c r="S57"/>
  <c r="U56"/>
  <c r="T56"/>
  <c r="M55"/>
  <c r="K55"/>
  <c r="T55" s="1"/>
  <c r="E37"/>
  <c r="U37" s="1"/>
  <c r="U46"/>
  <c r="T46"/>
  <c r="I46"/>
  <c r="S46" s="1"/>
  <c r="U45"/>
  <c r="T45"/>
  <c r="I45"/>
  <c r="S45" s="1"/>
  <c r="U44"/>
  <c r="T44"/>
  <c r="M43"/>
  <c r="K43"/>
  <c r="E40"/>
  <c r="U40" s="1"/>
  <c r="U42"/>
  <c r="T42"/>
  <c r="S42"/>
  <c r="U41"/>
  <c r="T41"/>
  <c r="I41"/>
  <c r="S41"/>
  <c r="U39"/>
  <c r="T39"/>
  <c r="S39"/>
  <c r="U38"/>
  <c r="T38"/>
  <c r="I38"/>
  <c r="I37" s="1"/>
  <c r="E34"/>
  <c r="E43" s="1"/>
  <c r="U36"/>
  <c r="T36"/>
  <c r="S36"/>
  <c r="U35"/>
  <c r="T35"/>
  <c r="I35"/>
  <c r="I34"/>
  <c r="N34" s="1"/>
  <c r="O34" s="1"/>
  <c r="E31"/>
  <c r="U31" s="1"/>
  <c r="U33"/>
  <c r="T33"/>
  <c r="S33"/>
  <c r="U32"/>
  <c r="T32"/>
  <c r="I32"/>
  <c r="I31"/>
  <c r="S31" s="1"/>
  <c r="S20"/>
  <c r="U21"/>
  <c r="T21"/>
  <c r="S21"/>
  <c r="L20"/>
  <c r="M20"/>
  <c r="N20" s="1"/>
  <c r="O20" s="1"/>
  <c r="J20"/>
  <c r="K20"/>
  <c r="T20" s="1"/>
  <c r="E24"/>
  <c r="S24" s="1"/>
  <c r="U25"/>
  <c r="T25"/>
  <c r="S25"/>
  <c r="L24"/>
  <c r="M24"/>
  <c r="U24" s="1"/>
  <c r="J24"/>
  <c r="K24"/>
  <c r="T24" s="1"/>
  <c r="L22"/>
  <c r="M22" s="1"/>
  <c r="J22"/>
  <c r="E22"/>
  <c r="S22"/>
  <c r="E26"/>
  <c r="S26"/>
  <c r="S23"/>
  <c r="T23"/>
  <c r="U23"/>
  <c r="S27"/>
  <c r="T27"/>
  <c r="U27"/>
  <c r="S114"/>
  <c r="T114"/>
  <c r="U114"/>
  <c r="S115"/>
  <c r="T115"/>
  <c r="U115"/>
  <c r="M26"/>
  <c r="U26"/>
  <c r="K26"/>
  <c r="K22"/>
  <c r="T22" s="1"/>
  <c r="U18"/>
  <c r="T18"/>
  <c r="S18"/>
  <c r="R1"/>
  <c r="I101"/>
  <c r="S101" s="1"/>
  <c r="T3" i="89"/>
  <c r="R3"/>
  <c r="S85" i="90"/>
  <c r="N53"/>
  <c r="O53"/>
  <c r="S35"/>
  <c r="S38"/>
  <c r="T107"/>
  <c r="I104"/>
  <c r="S104" s="1"/>
  <c r="U34"/>
  <c r="N92"/>
  <c r="N111"/>
  <c r="O111" s="1"/>
  <c r="T111"/>
  <c r="N117"/>
  <c r="O117"/>
  <c r="I98"/>
  <c r="N98"/>
  <c r="O98" s="1"/>
  <c r="S53"/>
  <c r="I138"/>
  <c r="S138"/>
  <c r="I68"/>
  <c r="O92"/>
  <c r="N109"/>
  <c r="O109"/>
  <c r="T85"/>
  <c r="I64"/>
  <c r="N64" s="1"/>
  <c r="O64" s="1"/>
  <c r="T98"/>
  <c r="I77"/>
  <c r="S77" s="1"/>
  <c r="N26"/>
  <c r="O26"/>
  <c r="T77"/>
  <c r="T92"/>
  <c r="N24"/>
  <c r="O24" s="1"/>
  <c r="S34"/>
  <c r="T73"/>
  <c r="T104"/>
  <c r="N31"/>
  <c r="O31" s="1"/>
  <c r="N87"/>
  <c r="O87"/>
  <c r="T87"/>
  <c r="S62"/>
  <c r="I61"/>
  <c r="S61"/>
  <c r="I119"/>
  <c r="S119"/>
  <c r="I122"/>
  <c r="S122"/>
  <c r="I125"/>
  <c r="S125"/>
  <c r="I128"/>
  <c r="S128"/>
  <c r="N138"/>
  <c r="O138"/>
  <c r="S98"/>
  <c r="U64"/>
  <c r="S32"/>
  <c r="T37"/>
  <c r="U55"/>
  <c r="U61"/>
  <c r="I40"/>
  <c r="T26"/>
  <c r="T58"/>
  <c r="I73"/>
  <c r="S73" s="1"/>
  <c r="N51"/>
  <c r="O51" s="1"/>
  <c r="T40"/>
  <c r="I94"/>
  <c r="S94"/>
  <c r="I135"/>
  <c r="S135"/>
  <c r="I130"/>
  <c r="S130"/>
  <c r="S133"/>
  <c r="N119"/>
  <c r="O119" s="1"/>
  <c r="T94"/>
  <c r="U94"/>
  <c r="N77"/>
  <c r="O77" s="1"/>
  <c r="S68"/>
  <c r="N68"/>
  <c r="O68"/>
  <c r="N61"/>
  <c r="O61"/>
  <c r="S40"/>
  <c r="N40"/>
  <c r="O40"/>
  <c r="N73"/>
  <c r="O73" s="1"/>
  <c r="N125"/>
  <c r="O125"/>
  <c r="N128"/>
  <c r="O128"/>
  <c r="N135"/>
  <c r="O135"/>
  <c r="N94"/>
  <c r="O94" s="1"/>
  <c r="V135"/>
  <c r="N37" l="1"/>
  <c r="O37" s="1"/>
  <c r="S37"/>
  <c r="I55"/>
  <c r="S56"/>
  <c r="U130"/>
  <c r="N130"/>
  <c r="O130" s="1"/>
  <c r="N22"/>
  <c r="O22" s="1"/>
  <c r="O28" s="1"/>
  <c r="U22"/>
  <c r="U43"/>
  <c r="G44"/>
  <c r="I44" s="1"/>
  <c r="T43"/>
  <c r="I58"/>
  <c r="S59"/>
  <c r="U104"/>
  <c r="N104"/>
  <c r="O104" s="1"/>
  <c r="T122"/>
  <c r="N122"/>
  <c r="O122" s="1"/>
  <c r="O140" s="1"/>
  <c r="N101"/>
  <c r="O101" s="1"/>
  <c r="O114" s="1"/>
  <c r="S64"/>
  <c r="U20"/>
  <c r="U143" s="1"/>
  <c r="T31"/>
  <c r="T143" s="1"/>
  <c r="T34"/>
  <c r="S55" l="1"/>
  <c r="N55"/>
  <c r="O55" s="1"/>
  <c r="S58"/>
  <c r="N58"/>
  <c r="O58" s="1"/>
  <c r="S44"/>
  <c r="I43"/>
  <c r="N43" l="1"/>
  <c r="O43" s="1"/>
  <c r="O48" s="1"/>
  <c r="S43"/>
  <c r="S143" s="1"/>
  <c r="V143" s="1"/>
  <c r="O82"/>
  <c r="O143" l="1"/>
  <c r="O83" s="1"/>
  <c r="O49" l="1"/>
  <c r="O145"/>
  <c r="O90"/>
  <c r="O115"/>
  <c r="O141"/>
  <c r="O29"/>
  <c r="O146" l="1"/>
  <c r="O147" s="1"/>
  <c r="O148" s="1"/>
  <c r="O149" s="1"/>
  <c r="E19" i="89" s="1"/>
  <c r="Q143" i="90"/>
  <c r="I19" i="89" l="1"/>
  <c r="I20" s="1"/>
  <c r="E20"/>
  <c r="E23" l="1"/>
  <c r="E24"/>
  <c r="I24" s="1"/>
  <c r="I44" l="1"/>
  <c r="I23"/>
  <c r="I25" s="1"/>
  <c r="I26" s="1"/>
  <c r="E25"/>
  <c r="E26" s="1"/>
  <c r="E38" s="1"/>
  <c r="I38" l="1"/>
  <c r="I39" s="1"/>
  <c r="E39"/>
  <c r="E40" s="1"/>
  <c r="H29"/>
  <c r="I29" s="1"/>
  <c r="H28"/>
  <c r="I28" l="1"/>
  <c r="I30" s="1"/>
  <c r="H30"/>
  <c r="H40" s="1"/>
  <c r="H41" s="1"/>
  <c r="L40"/>
  <c r="E41"/>
  <c r="E42" s="1"/>
  <c r="L42" s="1"/>
  <c r="I40" l="1"/>
  <c r="N40" s="1"/>
  <c r="H42"/>
  <c r="I41"/>
  <c r="I42" s="1"/>
  <c r="N42" s="1"/>
</calcChain>
</file>

<file path=xl/sharedStrings.xml><?xml version="1.0" encoding="utf-8"?>
<sst xmlns="http://schemas.openxmlformats.org/spreadsheetml/2006/main" count="299" uniqueCount="196">
  <si>
    <t>ÀÝ¹³Ù»ÝÁ</t>
  </si>
  <si>
    <t>Ðñ³Ù³Ý Ã.69   21,08,2001</t>
  </si>
  <si>
    <t>ÀÜ¸Ð²ÜàôðÀ</t>
  </si>
  <si>
    <t>(ûµÛ»ÏïÇ ³Ýí³ÝáõÙÁ)</t>
  </si>
  <si>
    <t xml:space="preserve">ÐÐ                     </t>
  </si>
  <si>
    <t xml:space="preserve">ÐÇÙÝ³í. </t>
  </si>
  <si>
    <t xml:space="preserve">²ßË³ï³ÝùÝ»ñÇ ¨ Í³Ëë»ñÇ ³Ýí³ÝáõÙÁ                 </t>
  </si>
  <si>
    <t xml:space="preserve">â/Ø                </t>
  </si>
  <si>
    <t xml:space="preserve">ø³Ý³ÏÁ   </t>
  </si>
  <si>
    <t>ØÇ³íáñÇ ·áõÙ³ñ</t>
  </si>
  <si>
    <t>ÜÛáõÃ»ñ</t>
  </si>
  <si>
    <t xml:space="preserve">Í³Ëë           </t>
  </si>
  <si>
    <t>ÙÇ³íáñÇ ·ÇÝ
Ñ³½.¹ñ</t>
  </si>
  <si>
    <t>ØÇ³íáñÇ ·áõÙ³ñ
 Ñ³½. ¹ñ.</t>
  </si>
  <si>
    <t>2</t>
  </si>
  <si>
    <t>10'</t>
  </si>
  <si>
    <t>11'</t>
  </si>
  <si>
    <t>ïÝ</t>
  </si>
  <si>
    <t>Ù3</t>
  </si>
  <si>
    <t>100Ù2</t>
  </si>
  <si>
    <t>ÀÜ¸²ØºÜÀ</t>
  </si>
  <si>
    <t>ìºð²¸Æð Ì²Êêºð</t>
  </si>
  <si>
    <t>Þ²ÐàôÚÂ</t>
  </si>
  <si>
    <r>
      <t xml:space="preserve">ÀÝ¹Ñ³ÝáõñÁ (Ñ³½. ¹ñ³Ù)    </t>
    </r>
    <r>
      <rPr>
        <b/>
        <i/>
        <sz val="8"/>
        <rFont val="Arial Armenian"/>
        <family val="2"/>
      </rPr>
      <t xml:space="preserve">12x5 </t>
    </r>
  </si>
  <si>
    <r>
      <t xml:space="preserve">ÀÝ¹³Ù»ÝÁ Ñ³½. ¹ñ³Ù </t>
    </r>
    <r>
      <rPr>
        <b/>
        <i/>
        <sz val="8"/>
        <rFont val="Arial Armenian"/>
        <family val="2"/>
      </rPr>
      <t>9+10+11</t>
    </r>
  </si>
  <si>
    <t>ÐÇÙÝ³Ï³Ý ³ßË³ï³í³ñÓ  Ñ³½.¹ñ.</t>
  </si>
  <si>
    <t>Ï·</t>
  </si>
  <si>
    <t>Ù</t>
  </si>
  <si>
    <t>Ñ³ï</t>
  </si>
  <si>
    <t>Ù2</t>
  </si>
  <si>
    <t>ö³Ûï³ÝÛáõÃ</t>
  </si>
  <si>
    <t>ÐÇÙÝ³Ï³Ý ³ßË³ï³í³ñÓ  éáõµ. 1984Ã</t>
  </si>
  <si>
    <t>Ø»ù»Ý³-Ù»Ë-Ý»ñÇ ß³Ñ³·áñÍáõÙ
éáõµ.
1984Ã</t>
  </si>
  <si>
    <t>Ø»ù»Ý³- Ù»Ë-Ý»ñÇ ß³Ñ³·áñÍáõÙ  Ñ³½ ¹ñ.</t>
  </si>
  <si>
    <t xml:space="preserve"> </t>
  </si>
  <si>
    <t>(Ü³Ë³Ñ³ßíÇ ³Ýí³ÝáõÙÁ)</t>
  </si>
  <si>
    <r>
      <t>ä³ïíÇñ³ïáõ --</t>
    </r>
    <r>
      <rPr>
        <sz val="14"/>
        <rFont val="Arial Armenian"/>
        <family val="2"/>
      </rPr>
      <t xml:space="preserve"> </t>
    </r>
  </si>
  <si>
    <r>
      <t>Î³éáõÛóÇ ³Ýí³ÝáõÙÁ ¨ Ñ³ëó»Ý`</t>
    </r>
    <r>
      <rPr>
        <b/>
        <sz val="11"/>
        <rFont val="Arial Armenian"/>
        <family val="2"/>
      </rPr>
      <t xml:space="preserve">  </t>
    </r>
  </si>
  <si>
    <t xml:space="preserve">              ²Ù÷á÷  Ý³Ë³Ñ³ßÇí</t>
  </si>
  <si>
    <t>¶ÉáõË</t>
  </si>
  <si>
    <t xml:space="preserve">  úµÛ»ÏïÇ Ý³Ë³Ñ³ßíÇ Ñ³Ù³ñÁ</t>
  </si>
  <si>
    <t>Ü³Ë³Ñ³ßíÇ Ñ/Ñ</t>
  </si>
  <si>
    <t xml:space="preserve">²ßË³ï³ÝùÝ»ñÇ ¨ Í³Ëë»ñÇ ³Ýí³ÝáõÙÁ </t>
  </si>
  <si>
    <t>²ßË³ï³ÝùÝ»ñÇ ¨ Í³Ëë»ñÇ ³ñÅ»ùÁ (Ñ³½. ¹ñ.)</t>
  </si>
  <si>
    <t>1$=</t>
  </si>
  <si>
    <t>AMD</t>
  </si>
  <si>
    <t>ÞÇÝ³ñ³ñ. ³ßË³ï.</t>
  </si>
  <si>
    <t>ØáÝï³Å. ³ßË³ï.</t>
  </si>
  <si>
    <t xml:space="preserve">ê³ñù³íáñ.
Ï³Ñ³íáñáõÙ   </t>
  </si>
  <si>
    <t>²ÛÉ Í³Ëë»ñ</t>
  </si>
  <si>
    <t xml:space="preserve">                                   ÀÝ¹³Ù»ÝÁ     
 </t>
  </si>
  <si>
    <t>ÀÝ¹³Ù»ÝÁ/Total (USD)</t>
  </si>
  <si>
    <t>I.ÐÇÙÝ³Ï³Ý  ß»Ýù»ñ ¨ Ï³éáõÛóÝ»ñ</t>
  </si>
  <si>
    <t>úµÛ»ÏïÇ Ý³Ë³Ñ.1</t>
  </si>
  <si>
    <r>
      <rPr>
        <b/>
        <i/>
        <sz val="14"/>
        <rFont val="Arial Armenian"/>
        <family val="2"/>
      </rPr>
      <t>II.</t>
    </r>
    <r>
      <rPr>
        <b/>
        <sz val="14"/>
        <rFont val="Arial Armenian"/>
        <family val="2"/>
      </rPr>
      <t xml:space="preserve">  </t>
    </r>
    <r>
      <rPr>
        <b/>
        <i/>
        <sz val="14"/>
        <rFont val="Arial Armenian"/>
        <family val="2"/>
      </rPr>
      <t>²ÛÉ ³ßË³ï³ÝùÝ»ñ ¨ Í³Ëë»ñ</t>
    </r>
  </si>
  <si>
    <t>ø³Õ³ù³ßÇÝ.Ý³Ë³ñ³ñáõÃÛáõÝ</t>
  </si>
  <si>
    <t>ÀÝ¹Ñ³ÝáõñÁ ·ÉáõË  I -II</t>
  </si>
  <si>
    <t xml:space="preserve">   III.  Ð»ÕÇÝ³Ï³ÛÇÝ ¨ ï»Ë. ÑëÏáÕáõÃÛ³Ý Í³Ëë»ñ</t>
  </si>
  <si>
    <t>Ðñ³Ù³Ý Ã.05-Ý   14,01,2008</t>
  </si>
  <si>
    <t>Ð»ÕÇÝ³Ï³ÛÇÝ . ÑëÏáÕáõÃÛáõÝ     -        0,6%</t>
  </si>
  <si>
    <t>IV.  Ü³Ë³·Í³-Ý³Ë³Ñ³ßí³ÛÇÝ ¨ ³ÛÉ ³ßË³ï³ÝùÝ»ñ</t>
  </si>
  <si>
    <t>Ðñ³Ù³Ý Ã.19-Ý   15,02,2008</t>
  </si>
  <si>
    <t>öáñÓ³ùÝÝáõÃÛáõÝ</t>
  </si>
  <si>
    <t>ÞÇÝ³ñ³ñáõÃÛ³Ý ÃáõÛÉïíáõÃÛáõÝ</t>
  </si>
  <si>
    <t>V.  âÝ³Ë³ï»ëí³Í ³ßË³ï³ÝùÝ»ñ ¨ Í³Ëë»ñ</t>
  </si>
  <si>
    <t xml:space="preserve">Ðñ³Ù³Ý Ã.05-Ý   14,01,2008   ³Õ.1, </t>
  </si>
  <si>
    <t>ÀÝ¹Ñ³ÝáõñÁ ·ÉáõË I -V</t>
  </si>
  <si>
    <t>².².Ð.    -    20%</t>
  </si>
  <si>
    <t>100Ù</t>
  </si>
  <si>
    <t xml:space="preserve">C122  </t>
  </si>
  <si>
    <t>¶ÛáõÙñáõ Ñ³Ù³ÛÝù³å»ï³ñ³Ý</t>
  </si>
  <si>
    <t>ø³Ý¹Ù³Ý ³ßË³ï³ÝùÝ»ñ</t>
  </si>
  <si>
    <t>$/Ù2</t>
  </si>
  <si>
    <t>Ü³Ë³Ñ³ßí³ÛÇÝ  ³ßË³ï³ÝùÝ»ñ,15%  Ý³Ë³·Í³ÛÇÝÇó</t>
  </si>
  <si>
    <t>âÝ³Ë³ï»ëí³Í ³ßË³ï³ÝùÝ»ñ ¨ Í³Ëë»ñ 3%</t>
  </si>
  <si>
    <t>î»ËÝÇÏ³Ï³Ý ÑëÏáÕáõÃÛáõÝ       -        2%</t>
  </si>
  <si>
    <t>úÉÇý</t>
  </si>
  <si>
    <t>ÚáõÕ³Ý»ñÏ</t>
  </si>
  <si>
    <r>
      <t>Ü³Ë³·Í³ÛÇÝ  Ï³½Ù³Ï»ñåáõÃÛáõÝ --</t>
    </r>
    <r>
      <rPr>
        <b/>
        <sz val="12"/>
        <rFont val="Arial Armenian"/>
        <family val="2"/>
      </rPr>
      <t xml:space="preserve"> §²ñï-</t>
    </r>
    <r>
      <rPr>
        <b/>
        <sz val="14"/>
        <rFont val="Arial Armenian"/>
        <family val="2"/>
      </rPr>
      <t>Ý³Ë³·ÇÍ¦</t>
    </r>
    <r>
      <rPr>
        <sz val="11"/>
        <rFont val="Arial Armenian"/>
        <family val="2"/>
      </rPr>
      <t xml:space="preserve"> </t>
    </r>
    <r>
      <rPr>
        <b/>
        <sz val="12"/>
        <rFont val="Arial Armenian"/>
        <family val="2"/>
      </rPr>
      <t xml:space="preserve"> </t>
    </r>
    <r>
      <rPr>
        <b/>
        <sz val="14"/>
        <rFont val="Arial Armenian"/>
        <family val="2"/>
      </rPr>
      <t xml:space="preserve">ö´À </t>
    </r>
    <r>
      <rPr>
        <b/>
        <sz val="12"/>
        <rFont val="Arial Armenian"/>
        <family val="2"/>
      </rPr>
      <t xml:space="preserve"> </t>
    </r>
    <r>
      <rPr>
        <sz val="11"/>
        <rFont val="Arial Armenian"/>
        <family val="2"/>
      </rPr>
      <t xml:space="preserve">                                                                                                              </t>
    </r>
  </si>
  <si>
    <t xml:space="preserve">Ñ³ëó»áõÙ ·ïÝíáÕ Ã. 4 »ñ³Åßï³Ï³Ý ¹åñáóÇ  ß»ÝùÇ </t>
  </si>
  <si>
    <t>ì»ñ³¹³ñÓíáÕ ·áõÙ³ñª 15% Å³Ù³Ý³Ï. ß»Ýù»ñ ¨ Ï³éáõÛóÝ»ñÇó  -</t>
  </si>
  <si>
    <t>Ðñ³Ù³Ý Ã.68   21,08,2001</t>
  </si>
  <si>
    <t xml:space="preserve">î»Õ³ÛÇÝ Ý³Ë³Ñ³ßÇí </t>
  </si>
  <si>
    <t>ÞÇÝ³ñ³ñ³Ï³Ý  ³ßË³ï³ÝùÝ»ñ</t>
  </si>
  <si>
    <t xml:space="preserve">E46-124         </t>
  </si>
  <si>
    <t xml:space="preserve">E46-35         </t>
  </si>
  <si>
    <t>Ընդամենը</t>
  </si>
  <si>
    <t>Առավելագույն կշիռ</t>
  </si>
  <si>
    <t>E15-250-1</t>
  </si>
  <si>
    <t>ïáÝ</t>
  </si>
  <si>
    <t xml:space="preserve">E8-190 </t>
  </si>
  <si>
    <t>¶áõÛù³ÛÇÝ ÷³Ûï³Ù³ÍÇ Ñ³í³ùáõÙ ¨ ù³Ý¹áõÙ</t>
  </si>
  <si>
    <t>äáÕå³ï» ¹»ï³ÉÝ»ñ</t>
  </si>
  <si>
    <t>ö³Ûï³Ù³Í</t>
  </si>
  <si>
    <t>100Ù2     áõÕÕ³Ï³Û.</t>
  </si>
  <si>
    <t>E15-277-1</t>
  </si>
  <si>
    <t xml:space="preserve">E15-664  </t>
  </si>
  <si>
    <t xml:space="preserve">ä³ï»ñÇ ¨ ß»å»ñÇ  Ý»ñÏáõÙ É³ï»ùë³ÛÇÝ Ý»ñÏáí </t>
  </si>
  <si>
    <t>È³ï»ùë³ÛÇÝ Ý»ñÏ,ÏÇë³÷³ÛÉáõÝ</t>
  </si>
  <si>
    <t xml:space="preserve">Ø³ÍÇÏ </t>
  </si>
  <si>
    <t xml:space="preserve">ò»Ù»Ýï-³í³½» ß³Õ³Ë </t>
  </si>
  <si>
    <t>E15-251-1</t>
  </si>
  <si>
    <t>ê³ÉÇÏÇ ëáëÇÝÓ</t>
  </si>
  <si>
    <t>E15-665</t>
  </si>
  <si>
    <t>²ÛÉ ³ßË³ï³ÝùÝ»ñ</t>
  </si>
  <si>
    <t>Þ³Õ³Ë</t>
  </si>
  <si>
    <t>Î³½Ù»ó`                                            î. ØÇù³Û»ÉÛ³ÝÁ</t>
  </si>
  <si>
    <t>·ÍÙ</t>
  </si>
  <si>
    <t>E8-402-2</t>
  </si>
  <si>
    <t>E8-591-10</t>
  </si>
  <si>
    <t xml:space="preserve">²Ýç³ïÇã, 2 ëï»Õ³ÝÇ,   </t>
  </si>
  <si>
    <t>E8-591-7</t>
  </si>
  <si>
    <t xml:space="preserve">Êñáó³ÛÇÝ í³ñ¹³Ï, Ã³ùÝí³Í ï»Õ³¹ñÙ³Ý Ñ³Ù³ñ, 250ì. 16²,,    </t>
  </si>
  <si>
    <t xml:space="preserve">²Ýç³ïÇã, 2 ëï»Õ³ÝÇ,      </t>
  </si>
  <si>
    <t>¾É»Ïïñ³Éáõë³íáñáõÃÛáõÝ</t>
  </si>
  <si>
    <t>ÎÉÇÙ³Û³Ï³Ý å³ÛÙ³ÝÝ»ñÇ ³½¹»óáõÃÛáõÝ - 1,2%x0,8=0,96%</t>
  </si>
  <si>
    <t>Ä³Ù³Ý³Ï³íáñ ß»Ýù»ñ ¨ Ï³éáõÛóÝ»ñ - 1,0%x0,8=0,8%</t>
  </si>
  <si>
    <t>ÐÐ ÞÇñ³ÏÇ Ù³ñ½Ç ¶ÛáõÙñáõ Ñ³Ù³ÛÝùÇ Þã»ñµÇÝ³ 3³</t>
  </si>
  <si>
    <t>ëå³ë³ëñ³ÑÇ  í»ñ³Ýáñá·Ù³Ý ßÇÝ³ñ³ñ³Ï³Ý ³ßË³ï³ÝùÝ»ñ</t>
  </si>
  <si>
    <t xml:space="preserve"> ÐÐ ÞÇñ³ÏÇ Ù³ñ½Ç ¶ÛáõÙñáõ Ñ³Ù³ÛÝùÇ Þã»ñµÇÝ³ 3³  Ñ³ëó»áõÙ ·ïÝíáÕ Ã. 4 »ñ³Åßï³Ï³Ý ¹åñáóÇ  ß»ÝùÇ ëå³ë³ëñ³ÑÇ  í»ñ³Ýáñá·Ù³Ý ßÇÝ³ñ³ñ³Ï³Ý ³ßË³ï³ÝùÝ»ñ</t>
  </si>
  <si>
    <t xml:space="preserve">E9-34         </t>
  </si>
  <si>
    <t>Ø»ï³Õ»  ÷³Ï íÇïñ³ÅÇ  ³å³ÙáÝï³ÅáõÙ , Ñ³ÝÓÝáõÙ ë»÷³Ï³Ý³ïÇñáçÁ</t>
  </si>
  <si>
    <t>Ø»ï³Õ»  ¹éÝáí íÇïñ³ÅÇ  ³å³ÙáÝï³ÅáõÙ , Ñ³ÝÓÝáõÙ ë»÷³Ï³Ý³ïÇñáçÁ</t>
  </si>
  <si>
    <r>
      <t xml:space="preserve">/2100(H)x1000ÙÙ, 1Ñ³ï/ ã³÷»ñáí  Ù»ï³Õ³åÉ³ëïÇó ¹é³Ý ï»Õ³¹ñáõÙ, ËáõÉ, ëåÇï³Ï,   ³ñï»ñÏÇñ, </t>
    </r>
    <r>
      <rPr>
        <b/>
        <sz val="10"/>
        <rFont val="Arial Armenian"/>
        <family val="2"/>
      </rPr>
      <t xml:space="preserve"> </t>
    </r>
  </si>
  <si>
    <t xml:space="preserve">/2100(H)x1000ÙÙ, 1Ñ³ï/ ã³÷»ñáí  Ù»ï³Õ³åÉ³ëïÇó,  ËáõÉ  ¹áõé , ëåÇï³Ï ,³ñï»ñÏÇñ,   </t>
  </si>
  <si>
    <r>
      <t>/4000(H)x11300ÙÙ, 1Ñ³ï/ ã³÷»ñáí  Ù»ï³Õ³åÉ³ëïÇó íÇïñ³ÅÇ ï»Õ³¹ñáõÙ, ³å³Ï»÷³Ã»Ãáí, ·áõÝ³íáñ,   ³ñï»ñÏÇñ, ãµ³óíáÕ</t>
    </r>
    <r>
      <rPr>
        <b/>
        <sz val="10"/>
        <rFont val="Arial Armenian"/>
        <family val="2"/>
      </rPr>
      <t xml:space="preserve"> </t>
    </r>
  </si>
  <si>
    <t xml:space="preserve">/4000(H)x11300ÙÙ, 1Ñ³ï/ ã³÷»ñáí  Ù»ï³Õ³åÉ³ëïÇó íÇïñ³Å, ³å³Ï»÷³Ã»Ãáí, ·áõÝ³íáñ,   ³ñï»ñÏÇñ,  ãµ³óíáÕ   </t>
  </si>
  <si>
    <t>/3200(H)x5000ÙÙ, 1Ñ³ï/ ã³÷»ñáí  Ù»ï³Õ³åÉ³ëïÇó íÇïñ³ÅÇ ï»Õ³¹ñáõÙ, ³å³Ï»÷³Ã»Ãáí, ·áõÝ³íáñ,   ³ñï»ñÏÇñ, ãµ³óíáÕ, ¹é³Ý µ³óí³Íùáí</t>
  </si>
  <si>
    <t>¸é³Ý µ³óí³Íùáí Ù»ï³Õ³åÉ³ëïÇó íÇïñ³ÅÇ  Ù»ç /2400(H)x1300ÙÙ, 1Ñ³ï/ã³÷. Ù»ï³Õ³åÉ³ï» ¹é³Ý ï»Õ³¹ñáõÙ, ³å³Ï»÷³Ã»Ãáí, ·áõÝ³íáñ,   ³ñï»ñÏÇñ,</t>
  </si>
  <si>
    <t xml:space="preserve"> /2400(H)x1300ÙÙ, 1Ñ³ï/ã³÷. Ù»ï³Õ³åÉ³ï» ¹áõé, ³å³Ï»÷³Ã»Ãáí, ·áõÝ³íáñ,   ³ñï»ñÏÇñ,</t>
  </si>
  <si>
    <t>E10-103</t>
  </si>
  <si>
    <t>Ù2    å³ïáõÑ³Ý</t>
  </si>
  <si>
    <t>äÉ³ëïÙ³ë»    å³ïáõÑ³Ý³·á·»ñÇ ï»Õ³¹ñáõÙ,       ·áõÝ³íáñ,  35ëÙ É³ÛÝùáí ,  15,4·ÍÙ</t>
  </si>
  <si>
    <t>äÉ³ëïÙ³ë»  å³ïáõÑ³Ý³·á·»ñ,  ·áõÝ³íáñ,                 35ëÙ É³ÛÝùáí, 15,4·ÍÙ</t>
  </si>
  <si>
    <t>ä³ï»ñÇ µ³ñÓñáñ³Ï  ëí³Õ  ·Çåë³ÝÇïáí</t>
  </si>
  <si>
    <t>¶Çåë³ÝÇï</t>
  </si>
  <si>
    <t xml:space="preserve">Þ»å»ñÇ µ³ñÓñáñ³Ï  ·Çåë³ÝÇïáí ëí³Õ </t>
  </si>
  <si>
    <t>ä³ï»ñÇ ,  ß»å»ñÇ ¨ ³é³ëï³ÕÇ  Ë³ñËÉí³Í ·³ç» ëí³ÕÇ  ù³Ý¹áõÙ</t>
  </si>
  <si>
    <t>²é³ëï³ÕÝ»ñÇ µ³ñÓñáñ³Ï  ëí³Õ  ·Çåë³ÝÇïáí</t>
  </si>
  <si>
    <t>²é³ëï³ÕÝ»ñÇ µ³ñÓñáñ³Ï Ý»ñÏáõÙ É³ï»ùë³ÛÇÝ   Ý»ñÏáí</t>
  </si>
  <si>
    <t>ä³ï»ñÇ ¨ ³é³ëï³ÕÇ  Ý»ñÏÇ Ù³ùñáõÙ</t>
  </si>
  <si>
    <t>E14-321    ´ÎîØ</t>
  </si>
  <si>
    <t>E14-190                    ´ÎîØ</t>
  </si>
  <si>
    <t>ä³ï»ñÇ µ³ñÓñáñ³Ï ÛáõÕ³Ý»ñÏáõÙ ÑÇÝ Ý»ñÏÇ 30%Çó ³í»É Ù³ùñáõÙáí</t>
  </si>
  <si>
    <t xml:space="preserve">E13-263    </t>
  </si>
  <si>
    <t>´³½³Éï» ³ëïÇ×³ÝÝ»ñÇ ¨ ë³É³ñÏÇ  Ù³ùñáõÙ, Éí³óáõÙ</t>
  </si>
  <si>
    <t xml:space="preserve">E13-30   </t>
  </si>
  <si>
    <t>E23-77                        ´ÎîØ</t>
  </si>
  <si>
    <t>E23-226                        ´ÎîØ</t>
  </si>
  <si>
    <t>տ</t>
  </si>
  <si>
    <t xml:space="preserve">Þ»ÝùáõÙ ßÇÝ ³ÕµÇ  Ïáõï³ÏáõÙÝ»ñÇ Ù³ùñáõÙ Ñ»é³óáõÙ </t>
  </si>
  <si>
    <t>î»Õ³÷áËáõÙ  7 ÏÙ Éó³ÏáõÛï</t>
  </si>
  <si>
    <t>ê³éÝ³ñ·»É ÙáõïùÇ Ù»ï³Õ» ³å³Ï»å³ï å³ï»ñÇ ¨ Í³ÍÏÇ ³å³ÙáÝï³ÅáõÙ , Ñ³ÝÓÝáõÙ ë»÷³Ï³Ý³ïÇñáçÁ</t>
  </si>
  <si>
    <t>ö³Ûï» ¹é³Ý  ù³Ý¹áõÙ Ñ³ÝÓÝáõÙ ë»÷³Ï³Ý³ïÇñáçÁ</t>
  </si>
  <si>
    <t>Ð³ñ¹³ñÙ³Ý ³ßË³ï³ÝùÝ»ñ</t>
  </si>
  <si>
    <t>Ð³ï³ÏÝ»ñ</t>
  </si>
  <si>
    <t>ìÇïñ³ÅÝ»ñ, ¹áõé</t>
  </si>
  <si>
    <t xml:space="preserve">Ð³ï³ÏÇ  Ù³ñÙ³ñ» Ë×³ÝÏ³ñáí Í³ÍÏáõÛÃÇ  ÑÕÏáõÙáí »ñ»ëÙ³ùñ»É, ×»Õù»ñÇ ¨ ÷áëÇÏÝ»ñÇ í»ñ³Ýáñá·áõÙáí </t>
  </si>
  <si>
    <t xml:space="preserve">E310-7            </t>
  </si>
  <si>
    <t xml:space="preserve">E1-961 </t>
  </si>
  <si>
    <t xml:space="preserve">3-ñ¹ ËÙµÇ ·ñáõÝïÇ Ó»éùáí Ùß³ÏáõÙ </t>
  </si>
  <si>
    <t>ÞÇÝ ³ÕµÇ  ¨ ·ñáõÝïÇ µ³ñÓáõÙ Ó»éùáí ³íïáÇÝùÝ³Ã³÷»ñÇ íñ³</t>
  </si>
  <si>
    <t xml:space="preserve">E8-11-1       </t>
  </si>
  <si>
    <t>ÊÇ×</t>
  </si>
  <si>
    <t xml:space="preserve">Þ»ÝùÇ ÙáõïùÇ Ó¨³íáñíáÕ Ñ³ñÃ³ÏÇ µ³½³Éï» Ë×áí  Ý³Ë³å³ïñ³ëï³Ï³Ý ß»ñï, 7 ëÙ Ñ³ëï    </t>
  </si>
  <si>
    <t xml:space="preserve">E11-11 </t>
  </si>
  <si>
    <t xml:space="preserve">´»ïáÝ  B-15,   </t>
  </si>
  <si>
    <t>´»ïáÝ» Ý³Ëå³ïñ³ëï³Ï³Ý ß»ñï            µ»ïáÝ  B-15,        5ëÙ Ñ³ëï., 30մ2</t>
  </si>
  <si>
    <t xml:space="preserve">E11-55  E11-56          </t>
  </si>
  <si>
    <t>Ð³ñÃ»óÝáÕ ß»ñï ó»Ù»Ýï-³í³½³ÛÇÝ »ñ»ë³ëí³Õ, 30ÙÙ Ñ³ëï.</t>
  </si>
  <si>
    <t>Ö³Ï³ïÇ Ùáõïù³Ù³ëÇ å³ï»ñÇ   Ù³ùñáõÙ, Éí³óáõÙ</t>
  </si>
  <si>
    <t>Ü³Ë³·Í³ÛÇÝ  ³ßË³ï³ÝùÝ»ñ,   %</t>
  </si>
  <si>
    <t xml:space="preserve">E27-87 </t>
  </si>
  <si>
    <t>´³½³Éï» »½ñ³ù³ñ»ñÇ ß³ñáõÙ, µ»ïáÝ» ÑÇÙùÇ íñ³,  µ»ïáÝ  B-15,</t>
  </si>
  <si>
    <t>´³½³Éï» »½ñ³ù³ñ, 200x100ÙÙ</t>
  </si>
  <si>
    <t>1-29</t>
  </si>
  <si>
    <t>E8-612-10</t>
  </si>
  <si>
    <t>îáõ÷ ³íïáÙ³ï ³Ýç³ïÇãÝ»ñÇ Ñ³Ù³ñ,</t>
  </si>
  <si>
    <t xml:space="preserve">Êñáó³ÛÇÝ í³ñ¹³Ï, Ã³ùÝí³Í ï»Õ³¹ñÙ³Ý Ñ³Ù³ñ, 250ì. 16², ÑáÕ³Ïóí³Í    (TITAN)    </t>
  </si>
  <si>
    <r>
      <t xml:space="preserve">¾É. Ñ³Õáñ¹³É³ñ  </t>
    </r>
    <r>
      <rPr>
        <sz val="10"/>
        <rFont val="Arial LatRus"/>
        <family val="2"/>
      </rPr>
      <t>ÏÏÂÃ,</t>
    </r>
    <r>
      <rPr>
        <sz val="10"/>
        <rFont val="Arial Armenian"/>
        <family val="2"/>
      </rPr>
      <t xml:space="preserve">  2 x 4ÙÙ.ù</t>
    </r>
  </si>
  <si>
    <r>
      <t xml:space="preserve">¾É. Ñ³Õáñ¹³É³ñ  </t>
    </r>
    <r>
      <rPr>
        <sz val="10"/>
        <rFont val="Arial LatRus"/>
        <family val="2"/>
      </rPr>
      <t>ÏÏÂÃ,</t>
    </r>
    <r>
      <rPr>
        <sz val="10"/>
        <rFont val="Arial Armenian"/>
        <family val="2"/>
      </rPr>
      <t xml:space="preserve">  2 x 2.5ÙÙ.ù</t>
    </r>
  </si>
  <si>
    <r>
      <t xml:space="preserve">¾É. Ñ³Õáñ¹³É³ñ  </t>
    </r>
    <r>
      <rPr>
        <sz val="9"/>
        <rFont val="Arial LatRus"/>
        <family val="2"/>
      </rPr>
      <t xml:space="preserve">ÏÂ </t>
    </r>
    <r>
      <rPr>
        <sz val="9"/>
        <rFont val="Arial Armenian"/>
        <family val="2"/>
        <charset val="204"/>
      </rPr>
      <t xml:space="preserve"> 1x 2.5ÙÙ.ù</t>
    </r>
  </si>
  <si>
    <t>E8-603-2</t>
  </si>
  <si>
    <t xml:space="preserve">²Ýç³ïÇã, 1ëï»Õ³ÝÇ,   </t>
  </si>
  <si>
    <t xml:space="preserve">²Ýç³ïÇã, 1ëï»Õ³ÝÇ,      </t>
  </si>
  <si>
    <t>Î-ï</t>
  </si>
  <si>
    <t>Ï-ï</t>
  </si>
  <si>
    <t xml:space="preserve">E8-599-2 </t>
  </si>
  <si>
    <t>E23-121      ´ÎîØ</t>
  </si>
  <si>
    <t>¶³ç» ëí³ÕÇ íñ³ ³ÏáëÇÏÝ»ñÇ µ³óáõÙ</t>
  </si>
  <si>
    <t>100     ·ÍÙ</t>
  </si>
  <si>
    <r>
      <t xml:space="preserve">Ð³Õáñ¹³É³ñÇ  Ã³ùÝí³Í É³ñ³ÝóáõÙ                                           --¾É. Ñ³Õáñ¹³É³ñ </t>
    </r>
    <r>
      <rPr>
        <sz val="10"/>
        <rFont val="Arial LatRus"/>
        <family val="2"/>
      </rPr>
      <t xml:space="preserve"> ÏÏÂÃ</t>
    </r>
    <r>
      <rPr>
        <sz val="10"/>
        <rFont val="Arial Armenian"/>
        <family val="2"/>
      </rPr>
      <t>2 x 4ÙÙ.ù - 180·ÍÙ,                                         --</t>
    </r>
    <r>
      <rPr>
        <sz val="10"/>
        <rFont val="Arial LatRus"/>
        <family val="2"/>
      </rPr>
      <t>ÏÏÂÃ</t>
    </r>
    <r>
      <rPr>
        <sz val="10"/>
        <rFont val="Arial Armenian"/>
        <family val="2"/>
      </rPr>
      <t xml:space="preserve">2 x 2.5ÙÙ.ù - 150·ÍÙ ,                                                       -- </t>
    </r>
    <r>
      <rPr>
        <sz val="10"/>
        <rFont val="Arial LatRus"/>
        <family val="2"/>
      </rPr>
      <t>ÏÂ</t>
    </r>
    <r>
      <rPr>
        <sz val="10"/>
        <rFont val="Arial Armenian"/>
        <family val="2"/>
      </rPr>
      <t>1x 2.5ÙÙ.ù - 70·ÍÙ</t>
    </r>
  </si>
  <si>
    <t>ä³ïÇ Éáõë³ïáõÝ»ñÇ ï»Õ³¹ñáõÙ, LED</t>
  </si>
  <si>
    <t>ä³ïÇ Éáõë³ïáõÝ»ñ,LED</t>
  </si>
  <si>
    <t>²é³ëï³Õ³ÛÇÝ  Éáõë³ïáõÝ»ñ, LED</t>
  </si>
  <si>
    <t xml:space="preserve">²é³ëï³Õ³ÛÇÝ   Éáõë³ïáõÝ»ñ,LED  </t>
  </si>
</sst>
</file>

<file path=xl/styles.xml><?xml version="1.0" encoding="utf-8"?>
<styleSheet xmlns="http://schemas.openxmlformats.org/spreadsheetml/2006/main">
  <numFmts count="8">
    <numFmt numFmtId="43" formatCode="_(* #,##0.00_);_(* \(#,##0.00\);_(* &quot;-&quot;??_);_(@_)"/>
    <numFmt numFmtId="164" formatCode="0.000"/>
    <numFmt numFmtId="165" formatCode="0.0000"/>
    <numFmt numFmtId="166" formatCode="0.0"/>
    <numFmt numFmtId="167" formatCode="0.0%"/>
    <numFmt numFmtId="168" formatCode="#,##0.000"/>
    <numFmt numFmtId="169" formatCode="[$$-C09]#,##0.0"/>
    <numFmt numFmtId="170" formatCode="[$$-C09]#,##0.000"/>
  </numFmts>
  <fonts count="58">
    <font>
      <sz val="10"/>
      <name val="Arial"/>
    </font>
    <font>
      <u/>
      <sz val="8.5"/>
      <color indexed="20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0"/>
      <name val="Arial Armenian"/>
      <family val="2"/>
    </font>
    <font>
      <sz val="9"/>
      <name val="Arial Armenian"/>
      <family val="2"/>
    </font>
    <font>
      <sz val="11"/>
      <name val="Arial Armenian"/>
      <family val="2"/>
    </font>
    <font>
      <sz val="12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b/>
      <sz val="14"/>
      <name val="Arial Armenian"/>
      <family val="2"/>
    </font>
    <font>
      <b/>
      <sz val="11"/>
      <name val="Arial Armenian"/>
      <family val="2"/>
    </font>
    <font>
      <b/>
      <sz val="10"/>
      <name val="Arial Armenian"/>
      <family val="2"/>
    </font>
    <font>
      <b/>
      <sz val="10"/>
      <name val="Arial Armenian"/>
      <family val="2"/>
      <charset val="204"/>
    </font>
    <font>
      <b/>
      <sz val="9"/>
      <name val="Arial Armenian"/>
      <family val="2"/>
    </font>
    <font>
      <sz val="16"/>
      <name val="Arial Armenian"/>
      <family val="2"/>
    </font>
    <font>
      <b/>
      <sz val="7"/>
      <name val="Arial Armenian"/>
      <family val="2"/>
    </font>
    <font>
      <b/>
      <i/>
      <sz val="8"/>
      <name val="Arial Armenian"/>
      <family val="2"/>
    </font>
    <font>
      <b/>
      <sz val="8"/>
      <name val="Arial Armenian"/>
      <family val="2"/>
    </font>
    <font>
      <b/>
      <i/>
      <sz val="10"/>
      <name val="Arial Armenian"/>
      <family val="2"/>
    </font>
    <font>
      <sz val="10"/>
      <name val="Russian Free Set"/>
      <family val="2"/>
    </font>
    <font>
      <i/>
      <sz val="12"/>
      <name val="Arial Armenian"/>
      <family val="2"/>
    </font>
    <font>
      <b/>
      <i/>
      <sz val="12"/>
      <name val="Arial Armenian"/>
      <family val="2"/>
    </font>
    <font>
      <sz val="9"/>
      <name val="Arial Armenian"/>
      <family val="2"/>
      <charset val="204"/>
    </font>
    <font>
      <sz val="10"/>
      <name val="Russian Baltica"/>
      <family val="1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.5"/>
      <name val="Arial Armenian"/>
      <family val="2"/>
    </font>
    <font>
      <sz val="10"/>
      <name val="Baltica"/>
      <family val="2"/>
    </font>
    <font>
      <b/>
      <sz val="16"/>
      <name val="Arial Armenian"/>
      <family val="2"/>
    </font>
    <font>
      <sz val="14"/>
      <name val="Arial Armenian"/>
      <family val="2"/>
    </font>
    <font>
      <sz val="12"/>
      <name val="Russian Baltica"/>
      <family val="1"/>
    </font>
    <font>
      <sz val="8"/>
      <name val="Russian Baltica"/>
      <family val="1"/>
    </font>
    <font>
      <b/>
      <sz val="8"/>
      <name val="Russian Baltica"/>
      <family val="1"/>
    </font>
    <font>
      <b/>
      <sz val="12"/>
      <name val="Russian Baltica"/>
      <family val="1"/>
    </font>
    <font>
      <b/>
      <sz val="20"/>
      <name val="Arial Armenian"/>
      <family val="2"/>
    </font>
    <font>
      <b/>
      <sz val="24"/>
      <name val="Arial Armenian"/>
      <family val="2"/>
    </font>
    <font>
      <b/>
      <i/>
      <sz val="16"/>
      <name val="Arial Armenian"/>
      <family val="2"/>
    </font>
    <font>
      <b/>
      <sz val="12"/>
      <name val="Arial Armenian"/>
      <family val="2"/>
      <charset val="204"/>
    </font>
    <font>
      <b/>
      <i/>
      <sz val="14"/>
      <name val="Arial Armenian"/>
      <family val="2"/>
    </font>
    <font>
      <b/>
      <sz val="15"/>
      <name val="Arial Armenian"/>
      <family val="2"/>
    </font>
    <font>
      <b/>
      <sz val="16"/>
      <name val="Arial Armenian"/>
      <family val="2"/>
      <charset val="204"/>
    </font>
    <font>
      <sz val="10"/>
      <name val="Arial"/>
      <family val="2"/>
    </font>
    <font>
      <sz val="6"/>
      <name val="Arial Armenian"/>
      <family val="2"/>
    </font>
    <font>
      <i/>
      <sz val="10"/>
      <name val="Arial Armenian"/>
      <family val="2"/>
    </font>
    <font>
      <sz val="10"/>
      <name val="Arial"/>
      <family val="2"/>
      <charset val="204"/>
    </font>
    <font>
      <b/>
      <sz val="18"/>
      <name val="Arial Armenian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7"/>
      <name val="Arial Armenian"/>
      <family val="2"/>
    </font>
    <font>
      <sz val="10"/>
      <name val="Arial LatRus"/>
      <family val="2"/>
    </font>
    <font>
      <sz val="9"/>
      <name val="Arial LatRus"/>
      <family val="2"/>
    </font>
    <font>
      <b/>
      <sz val="10"/>
      <name val="Russian Text Book"/>
    </font>
    <font>
      <sz val="10"/>
      <name val="Russian Text Book"/>
    </font>
    <font>
      <b/>
      <sz val="10"/>
      <name val="Russian Free Set"/>
      <family val="2"/>
    </font>
    <font>
      <sz val="10"/>
      <name val="Arial"/>
    </font>
    <font>
      <b/>
      <sz val="10"/>
      <color rgb="FFFF0000"/>
      <name val="Arial Armenian"/>
      <family val="2"/>
    </font>
    <font>
      <b/>
      <sz val="10"/>
      <color theme="1"/>
      <name val="Arial Armenian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8">
    <xf numFmtId="0" fontId="0" fillId="0" borderId="0"/>
    <xf numFmtId="0" fontId="47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41" fillId="0" borderId="0"/>
    <xf numFmtId="0" fontId="2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25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5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24" fillId="0" borderId="0" applyFont="0" applyFill="0" applyBorder="0" applyAlignment="0" applyProtection="0"/>
  </cellStyleXfs>
  <cellXfs count="441">
    <xf numFmtId="0" fontId="0" fillId="0" borderId="0" xfId="0"/>
    <xf numFmtId="2" fontId="9" fillId="0" borderId="0" xfId="18" applyNumberFormat="1" applyFont="1" applyFill="1" applyBorder="1" applyAlignment="1">
      <alignment horizontal="center" vertical="center"/>
    </xf>
    <xf numFmtId="0" fontId="9" fillId="0" borderId="0" xfId="18" applyFont="1" applyFill="1" applyAlignment="1">
      <alignment horizontal="centerContinuous" vertical="center"/>
    </xf>
    <xf numFmtId="0" fontId="9" fillId="0" borderId="0" xfId="18" applyFont="1" applyFill="1" applyAlignment="1">
      <alignment horizontal="center" vertical="center"/>
    </xf>
    <xf numFmtId="0" fontId="9" fillId="0" borderId="0" xfId="18" applyFont="1" applyFill="1" applyAlignment="1">
      <alignment horizontal="centerContinuous"/>
    </xf>
    <xf numFmtId="0" fontId="14" fillId="0" borderId="0" xfId="18" applyFont="1" applyFill="1" applyBorder="1"/>
    <xf numFmtId="0" fontId="9" fillId="0" borderId="0" xfId="18" applyFont="1" applyFill="1" applyBorder="1" applyAlignment="1">
      <alignment horizontal="centerContinuous" vertical="center"/>
    </xf>
    <xf numFmtId="2" fontId="8" fillId="0" borderId="0" xfId="18" applyNumberFormat="1" applyFont="1" applyFill="1" applyBorder="1" applyAlignment="1">
      <alignment vertical="center" wrapText="1"/>
    </xf>
    <xf numFmtId="0" fontId="9" fillId="0" borderId="0" xfId="18" applyFont="1" applyFill="1" applyBorder="1" applyAlignment="1">
      <alignment horizontal="centerContinuous"/>
    </xf>
    <xf numFmtId="0" fontId="11" fillId="0" borderId="0" xfId="18" applyFont="1" applyFill="1" applyAlignment="1">
      <alignment horizontal="centerContinuous"/>
    </xf>
    <xf numFmtId="0" fontId="15" fillId="0" borderId="0" xfId="18" applyFont="1" applyFill="1" applyBorder="1" applyAlignment="1">
      <alignment horizontal="center" vertical="top"/>
    </xf>
    <xf numFmtId="0" fontId="15" fillId="0" borderId="0" xfId="18" applyFont="1" applyFill="1" applyBorder="1" applyAlignment="1">
      <alignment horizontal="centerContinuous" vertical="top"/>
    </xf>
    <xf numFmtId="0" fontId="5" fillId="0" borderId="1" xfId="18" applyFont="1" applyFill="1" applyBorder="1" applyAlignment="1">
      <alignment horizontal="center"/>
    </xf>
    <xf numFmtId="166" fontId="11" fillId="0" borderId="2" xfId="5" applyNumberFormat="1" applyFont="1" applyFill="1" applyBorder="1" applyAlignment="1">
      <alignment horizontal="center" vertical="top"/>
    </xf>
    <xf numFmtId="164" fontId="7" fillId="0" borderId="3" xfId="18" applyNumberFormat="1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wrapText="1"/>
    </xf>
    <xf numFmtId="2" fontId="7" fillId="0" borderId="3" xfId="18" applyNumberFormat="1" applyFont="1" applyFill="1" applyBorder="1" applyAlignment="1">
      <alignment horizontal="center" vertical="center" wrapText="1"/>
    </xf>
    <xf numFmtId="0" fontId="18" fillId="0" borderId="4" xfId="18" applyNumberFormat="1" applyFont="1" applyFill="1" applyBorder="1" applyAlignment="1">
      <alignment horizontal="center"/>
    </xf>
    <xf numFmtId="49" fontId="18" fillId="0" borderId="5" xfId="18" applyNumberFormat="1" applyFont="1" applyFill="1" applyBorder="1" applyAlignment="1">
      <alignment horizontal="center" vertical="center"/>
    </xf>
    <xf numFmtId="1" fontId="18" fillId="0" borderId="5" xfId="18" applyNumberFormat="1" applyFont="1" applyFill="1" applyBorder="1" applyAlignment="1">
      <alignment horizontal="center" wrapText="1"/>
    </xf>
    <xf numFmtId="0" fontId="18" fillId="0" borderId="5" xfId="18" applyNumberFormat="1" applyFont="1" applyFill="1" applyBorder="1" applyAlignment="1">
      <alignment horizontal="centerContinuous"/>
    </xf>
    <xf numFmtId="0" fontId="18" fillId="0" borderId="5" xfId="18" applyNumberFormat="1" applyFont="1" applyFill="1" applyBorder="1" applyAlignment="1">
      <alignment horizontal="center"/>
    </xf>
    <xf numFmtId="0" fontId="18" fillId="0" borderId="6" xfId="18" applyNumberFormat="1" applyFont="1" applyFill="1" applyBorder="1" applyAlignment="1">
      <alignment horizontal="center"/>
    </xf>
    <xf numFmtId="0" fontId="5" fillId="0" borderId="0" xfId="18" applyFont="1" applyFill="1" applyBorder="1" applyAlignment="1">
      <alignment vertical="top"/>
    </xf>
    <xf numFmtId="0" fontId="11" fillId="0" borderId="7" xfId="5" applyNumberFormat="1" applyFont="1" applyFill="1" applyBorder="1" applyAlignment="1">
      <alignment horizontal="center" vertical="top"/>
    </xf>
    <xf numFmtId="49" fontId="13" fillId="0" borderId="2" xfId="5" applyNumberFormat="1" applyFont="1" applyFill="1" applyBorder="1" applyAlignment="1">
      <alignment horizontal="center" vertical="top" wrapText="1"/>
    </xf>
    <xf numFmtId="164" fontId="11" fillId="0" borderId="8" xfId="5" applyNumberFormat="1" applyFont="1" applyFill="1" applyBorder="1" applyAlignment="1">
      <alignment horizontal="center" vertical="top"/>
    </xf>
    <xf numFmtId="0" fontId="11" fillId="0" borderId="2" xfId="5" applyNumberFormat="1" applyFont="1" applyFill="1" applyBorder="1" applyAlignment="1">
      <alignment horizontal="center" vertical="top"/>
    </xf>
    <xf numFmtId="2" fontId="11" fillId="0" borderId="8" xfId="5" applyNumberFormat="1" applyFont="1" applyFill="1" applyBorder="1" applyAlignment="1">
      <alignment horizontal="center" vertical="top"/>
    </xf>
    <xf numFmtId="0" fontId="5" fillId="0" borderId="9" xfId="18" applyNumberFormat="1" applyFont="1" applyFill="1" applyBorder="1" applyAlignment="1">
      <alignment horizontal="center" vertical="top"/>
    </xf>
    <xf numFmtId="49" fontId="5" fillId="0" borderId="5" xfId="18" applyNumberFormat="1" applyFont="1" applyFill="1" applyBorder="1" applyAlignment="1">
      <alignment horizontal="center" vertical="top"/>
    </xf>
    <xf numFmtId="1" fontId="8" fillId="0" borderId="5" xfId="18" applyNumberFormat="1" applyFont="1" applyFill="1" applyBorder="1" applyAlignment="1">
      <alignment horizontal="right" vertical="top" wrapText="1"/>
    </xf>
    <xf numFmtId="0" fontId="5" fillId="0" borderId="0" xfId="18" applyFont="1" applyFill="1" applyAlignment="1">
      <alignment vertical="top"/>
    </xf>
    <xf numFmtId="0" fontId="5" fillId="0" borderId="10" xfId="18" applyNumberFormat="1" applyFont="1" applyFill="1" applyBorder="1" applyAlignment="1">
      <alignment horizontal="center" vertical="top"/>
    </xf>
    <xf numFmtId="49" fontId="5" fillId="0" borderId="11" xfId="18" applyNumberFormat="1" applyFont="1" applyFill="1" applyBorder="1" applyAlignment="1">
      <alignment horizontal="center" vertical="top"/>
    </xf>
    <xf numFmtId="1" fontId="8" fillId="0" borderId="11" xfId="18" applyNumberFormat="1" applyFont="1" applyFill="1" applyBorder="1" applyAlignment="1">
      <alignment horizontal="right" vertical="top" wrapText="1"/>
    </xf>
    <xf numFmtId="0" fontId="20" fillId="0" borderId="12" xfId="18" applyNumberFormat="1" applyFont="1" applyFill="1" applyBorder="1" applyAlignment="1">
      <alignment horizontal="center" vertical="top"/>
    </xf>
    <xf numFmtId="49" fontId="20" fillId="0" borderId="13" xfId="18" applyNumberFormat="1" applyFont="1" applyFill="1" applyBorder="1" applyAlignment="1">
      <alignment horizontal="right" vertical="top"/>
    </xf>
    <xf numFmtId="1" fontId="8" fillId="0" borderId="13" xfId="18" applyNumberFormat="1" applyFont="1" applyFill="1" applyBorder="1" applyAlignment="1">
      <alignment horizontal="center" vertical="top" wrapText="1"/>
    </xf>
    <xf numFmtId="166" fontId="8" fillId="0" borderId="0" xfId="18" applyNumberFormat="1" applyFont="1" applyFill="1" applyBorder="1" applyAlignment="1">
      <alignment horizontal="center" vertical="top"/>
    </xf>
    <xf numFmtId="164" fontId="11" fillId="0" borderId="0" xfId="18" applyNumberFormat="1" applyFont="1" applyFill="1" applyBorder="1" applyAlignment="1">
      <alignment horizontal="center" vertical="top"/>
    </xf>
    <xf numFmtId="0" fontId="20" fillId="0" borderId="14" xfId="18" applyNumberFormat="1" applyFont="1" applyFill="1" applyBorder="1" applyAlignment="1">
      <alignment horizontal="center" vertical="top"/>
    </xf>
    <xf numFmtId="49" fontId="20" fillId="0" borderId="15" xfId="18" applyNumberFormat="1" applyFont="1" applyFill="1" applyBorder="1" applyAlignment="1">
      <alignment horizontal="right" vertical="top"/>
    </xf>
    <xf numFmtId="1" fontId="6" fillId="0" borderId="15" xfId="18" applyNumberFormat="1" applyFont="1" applyFill="1" applyBorder="1" applyAlignment="1">
      <alignment horizontal="right" vertical="top" wrapText="1"/>
    </xf>
    <xf numFmtId="1" fontId="21" fillId="0" borderId="0" xfId="18" applyNumberFormat="1" applyFont="1" applyFill="1" applyBorder="1" applyAlignment="1">
      <alignment horizontal="right" vertical="top" wrapText="1"/>
    </xf>
    <xf numFmtId="1" fontId="21" fillId="0" borderId="0" xfId="18" applyNumberFormat="1" applyFont="1" applyFill="1" applyBorder="1" applyAlignment="1">
      <alignment horizontal="center" vertical="top" wrapText="1"/>
    </xf>
    <xf numFmtId="2" fontId="21" fillId="0" borderId="0" xfId="18" applyNumberFormat="1" applyFont="1" applyFill="1" applyBorder="1" applyAlignment="1">
      <alignment horizontal="center" vertical="top" wrapText="1"/>
    </xf>
    <xf numFmtId="0" fontId="20" fillId="0" borderId="0" xfId="18" applyNumberFormat="1" applyFont="1" applyFill="1" applyBorder="1" applyAlignment="1">
      <alignment horizontal="center" vertical="top"/>
    </xf>
    <xf numFmtId="166" fontId="6" fillId="0" borderId="0" xfId="18" applyNumberFormat="1" applyFont="1" applyFill="1" applyBorder="1" applyAlignment="1">
      <alignment horizontal="left" vertical="top"/>
    </xf>
    <xf numFmtId="1" fontId="8" fillId="0" borderId="15" xfId="18" applyNumberFormat="1" applyFont="1" applyFill="1" applyBorder="1" applyAlignment="1">
      <alignment horizontal="center" vertical="top" wrapText="1"/>
    </xf>
    <xf numFmtId="1" fontId="8" fillId="0" borderId="16" xfId="18" applyNumberFormat="1" applyFont="1" applyFill="1" applyBorder="1" applyAlignment="1">
      <alignment horizontal="center" vertical="top" wrapText="1"/>
    </xf>
    <xf numFmtId="2" fontId="11" fillId="0" borderId="2" xfId="5" applyNumberFormat="1" applyFont="1" applyFill="1" applyBorder="1" applyAlignment="1">
      <alignment horizontal="center" vertical="top"/>
    </xf>
    <xf numFmtId="164" fontId="11" fillId="0" borderId="2" xfId="5" applyNumberFormat="1" applyFont="1" applyFill="1" applyBorder="1" applyAlignment="1">
      <alignment horizontal="center" vertical="top"/>
    </xf>
    <xf numFmtId="0" fontId="11" fillId="0" borderId="7" xfId="5" applyNumberFormat="1" applyFont="1" applyFill="1" applyBorder="1" applyAlignment="1">
      <alignment horizontal="center" vertical="center"/>
    </xf>
    <xf numFmtId="0" fontId="4" fillId="0" borderId="0" xfId="18" applyFont="1" applyFill="1" applyAlignment="1">
      <alignment vertical="top"/>
    </xf>
    <xf numFmtId="2" fontId="56" fillId="0" borderId="2" xfId="5" applyNumberFormat="1" applyFont="1" applyFill="1" applyBorder="1" applyAlignment="1">
      <alignment horizontal="center" vertical="top"/>
    </xf>
    <xf numFmtId="1" fontId="11" fillId="0" borderId="5" xfId="18" applyNumberFormat="1" applyFont="1" applyFill="1" applyBorder="1" applyAlignment="1">
      <alignment horizontal="center" vertical="top" wrapText="1"/>
    </xf>
    <xf numFmtId="1" fontId="11" fillId="0" borderId="5" xfId="18" applyNumberFormat="1" applyFont="1" applyFill="1" applyBorder="1" applyAlignment="1">
      <alignment horizontal="right" vertical="top" wrapText="1"/>
    </xf>
    <xf numFmtId="2" fontId="11" fillId="0" borderId="5" xfId="18" applyNumberFormat="1" applyFont="1" applyFill="1" applyBorder="1" applyAlignment="1">
      <alignment horizontal="center" vertical="top" wrapText="1"/>
    </xf>
    <xf numFmtId="1" fontId="11" fillId="0" borderId="11" xfId="18" applyNumberFormat="1" applyFont="1" applyFill="1" applyBorder="1" applyAlignment="1">
      <alignment horizontal="center" vertical="top" wrapText="1"/>
    </xf>
    <xf numFmtId="1" fontId="11" fillId="0" borderId="11" xfId="18" applyNumberFormat="1" applyFont="1" applyFill="1" applyBorder="1" applyAlignment="1">
      <alignment horizontal="right" vertical="top" wrapText="1"/>
    </xf>
    <xf numFmtId="2" fontId="11" fillId="0" borderId="11" xfId="18" applyNumberFormat="1" applyFont="1" applyFill="1" applyBorder="1" applyAlignment="1">
      <alignment horizontal="center" vertical="top" wrapText="1"/>
    </xf>
    <xf numFmtId="0" fontId="11" fillId="0" borderId="2" xfId="5" applyNumberFormat="1" applyFont="1" applyFill="1" applyBorder="1" applyAlignment="1">
      <alignment horizontal="center" vertical="center"/>
    </xf>
    <xf numFmtId="49" fontId="20" fillId="0" borderId="0" xfId="18" applyNumberFormat="1" applyFont="1" applyFill="1" applyBorder="1" applyAlignment="1">
      <alignment horizontal="right" vertical="top"/>
    </xf>
    <xf numFmtId="1" fontId="8" fillId="0" borderId="0" xfId="18" applyNumberFormat="1" applyFont="1" applyFill="1" applyBorder="1" applyAlignment="1">
      <alignment horizontal="center" vertical="top" wrapText="1"/>
    </xf>
    <xf numFmtId="164" fontId="10" fillId="0" borderId="0" xfId="18" applyNumberFormat="1" applyFont="1" applyFill="1" applyBorder="1" applyAlignment="1">
      <alignment horizontal="center" vertical="top"/>
    </xf>
    <xf numFmtId="0" fontId="3" fillId="0" borderId="0" xfId="18" applyFont="1" applyFill="1" applyBorder="1"/>
    <xf numFmtId="0" fontId="3" fillId="0" borderId="0" xfId="22" applyBorder="1"/>
    <xf numFmtId="0" fontId="3" fillId="0" borderId="0" xfId="22" applyBorder="1" applyAlignment="1">
      <alignment wrapText="1"/>
    </xf>
    <xf numFmtId="0" fontId="11" fillId="0" borderId="0" xfId="18" applyFont="1" applyFill="1" applyBorder="1"/>
    <xf numFmtId="0" fontId="3" fillId="0" borderId="0" xfId="22"/>
    <xf numFmtId="2" fontId="3" fillId="0" borderId="2" xfId="5" applyNumberFormat="1" applyFont="1" applyFill="1" applyBorder="1" applyAlignment="1">
      <alignment horizontal="left" vertical="top" wrapText="1"/>
    </xf>
    <xf numFmtId="0" fontId="3" fillId="0" borderId="2" xfId="5" applyFont="1" applyFill="1" applyBorder="1" applyAlignment="1">
      <alignment horizontal="center" vertical="top" wrapText="1"/>
    </xf>
    <xf numFmtId="2" fontId="3" fillId="0" borderId="2" xfId="5" applyNumberFormat="1" applyFont="1" applyFill="1" applyBorder="1" applyAlignment="1">
      <alignment horizontal="center" vertical="top"/>
    </xf>
    <xf numFmtId="0" fontId="4" fillId="0" borderId="0" xfId="18" applyFont="1" applyFill="1" applyBorder="1" applyAlignment="1">
      <alignment vertical="top"/>
    </xf>
    <xf numFmtId="2" fontId="3" fillId="0" borderId="0" xfId="5" applyNumberFormat="1" applyFont="1" applyFill="1" applyBorder="1" applyAlignment="1">
      <alignment horizontal="center" vertical="top"/>
    </xf>
    <xf numFmtId="0" fontId="3" fillId="0" borderId="0" xfId="5" applyFont="1" applyFill="1" applyBorder="1" applyAlignment="1">
      <alignment vertical="top"/>
    </xf>
    <xf numFmtId="2" fontId="3" fillId="0" borderId="0" xfId="5" applyNumberFormat="1" applyFont="1" applyFill="1" applyBorder="1" applyAlignment="1">
      <alignment vertical="top"/>
    </xf>
    <xf numFmtId="2" fontId="4" fillId="0" borderId="2" xfId="5" applyNumberFormat="1" applyFont="1" applyFill="1" applyBorder="1" applyAlignment="1">
      <alignment horizontal="right" vertical="top" wrapText="1"/>
    </xf>
    <xf numFmtId="2" fontId="3" fillId="2" borderId="2" xfId="5" applyNumberFormat="1" applyFont="1" applyFill="1" applyBorder="1" applyAlignment="1">
      <alignment horizontal="center" vertical="top"/>
    </xf>
    <xf numFmtId="0" fontId="3" fillId="0" borderId="2" xfId="5" applyFont="1" applyFill="1" applyBorder="1" applyAlignment="1">
      <alignment horizontal="center" vertical="top"/>
    </xf>
    <xf numFmtId="164" fontId="3" fillId="0" borderId="2" xfId="5" applyNumberFormat="1" applyFont="1" applyFill="1" applyBorder="1" applyAlignment="1">
      <alignment horizontal="center" vertical="top"/>
    </xf>
    <xf numFmtId="2" fontId="3" fillId="0" borderId="0" xfId="5" applyNumberFormat="1" applyFont="1" applyFill="1" applyBorder="1" applyAlignment="1">
      <alignment horizontal="center"/>
    </xf>
    <xf numFmtId="0" fontId="4" fillId="0" borderId="0" xfId="18" applyFont="1" applyFill="1" applyBorder="1"/>
    <xf numFmtId="0" fontId="26" fillId="0" borderId="0" xfId="18" applyFont="1" applyFill="1" applyBorder="1"/>
    <xf numFmtId="2" fontId="26" fillId="0" borderId="0" xfId="18" applyNumberFormat="1" applyFont="1" applyFill="1" applyBorder="1"/>
    <xf numFmtId="2" fontId="4" fillId="0" borderId="0" xfId="18" applyNumberFormat="1" applyFont="1" applyFill="1" applyBorder="1" applyAlignment="1">
      <alignment vertical="top"/>
    </xf>
    <xf numFmtId="1" fontId="18" fillId="0" borderId="17" xfId="18" applyNumberFormat="1" applyFont="1" applyFill="1" applyBorder="1" applyAlignment="1">
      <alignment horizontal="center" vertical="top" wrapText="1"/>
    </xf>
    <xf numFmtId="0" fontId="4" fillId="0" borderId="0" xfId="18" applyFont="1" applyFill="1"/>
    <xf numFmtId="0" fontId="3" fillId="0" borderId="0" xfId="5" applyFont="1" applyFill="1" applyBorder="1"/>
    <xf numFmtId="2" fontId="3" fillId="0" borderId="0" xfId="5" applyNumberFormat="1" applyFont="1" applyFill="1" applyBorder="1"/>
    <xf numFmtId="0" fontId="4" fillId="0" borderId="2" xfId="5" applyFont="1" applyFill="1" applyBorder="1" applyAlignment="1">
      <alignment horizontal="center" vertical="top"/>
    </xf>
    <xf numFmtId="0" fontId="13" fillId="0" borderId="2" xfId="5" applyNumberFormat="1" applyFont="1" applyFill="1" applyBorder="1" applyAlignment="1">
      <alignment horizontal="center" vertical="top"/>
    </xf>
    <xf numFmtId="2" fontId="4" fillId="0" borderId="2" xfId="5" applyNumberFormat="1" applyFont="1" applyFill="1" applyBorder="1" applyAlignment="1">
      <alignment horizontal="right" vertical="center" wrapText="1"/>
    </xf>
    <xf numFmtId="0" fontId="11" fillId="0" borderId="0" xfId="18" applyFont="1" applyFill="1" applyBorder="1" applyAlignment="1">
      <alignment horizontal="left" vertical="top"/>
    </xf>
    <xf numFmtId="2" fontId="4" fillId="0" borderId="2" xfId="5" applyNumberFormat="1" applyFont="1" applyFill="1" applyBorder="1" applyAlignment="1">
      <alignment horizontal="center" vertical="top"/>
    </xf>
    <xf numFmtId="2" fontId="7" fillId="0" borderId="2" xfId="5" applyNumberFormat="1" applyFont="1" applyFill="1" applyBorder="1" applyAlignment="1">
      <alignment horizontal="right" vertical="top" wrapText="1"/>
    </xf>
    <xf numFmtId="0" fontId="3" fillId="0" borderId="2" xfId="5" applyFont="1" applyFill="1" applyBorder="1" applyAlignment="1">
      <alignment horizontal="center" vertical="center"/>
    </xf>
    <xf numFmtId="49" fontId="4" fillId="0" borderId="2" xfId="5" applyNumberFormat="1" applyFont="1" applyFill="1" applyBorder="1" applyAlignment="1">
      <alignment horizontal="right" vertical="top"/>
    </xf>
    <xf numFmtId="0" fontId="3" fillId="0" borderId="2" xfId="5" applyNumberFormat="1" applyFont="1" applyFill="1" applyBorder="1" applyAlignment="1">
      <alignment horizontal="center" vertical="top"/>
    </xf>
    <xf numFmtId="2" fontId="3" fillId="0" borderId="2" xfId="5" applyNumberFormat="1" applyFont="1" applyFill="1" applyBorder="1" applyAlignment="1">
      <alignment horizontal="right" vertical="top" wrapText="1"/>
    </xf>
    <xf numFmtId="49" fontId="3" fillId="0" borderId="2" xfId="5" applyNumberFormat="1" applyFont="1" applyFill="1" applyBorder="1" applyAlignment="1">
      <alignment horizontal="right" vertical="top"/>
    </xf>
    <xf numFmtId="164" fontId="3" fillId="2" borderId="2" xfId="5" applyNumberFormat="1" applyFont="1" applyFill="1" applyBorder="1" applyAlignment="1">
      <alignment horizontal="center" vertical="top"/>
    </xf>
    <xf numFmtId="0" fontId="28" fillId="0" borderId="0" xfId="18" applyFont="1" applyFill="1" applyBorder="1" applyAlignment="1">
      <alignment horizontal="centerContinuous" vertical="center"/>
    </xf>
    <xf numFmtId="0" fontId="3" fillId="0" borderId="0" xfId="12" applyFont="1" applyFill="1" applyBorder="1"/>
    <xf numFmtId="3" fontId="3" fillId="0" borderId="0" xfId="12" applyNumberFormat="1" applyFont="1" applyFill="1" applyBorder="1"/>
    <xf numFmtId="0" fontId="5" fillId="0" borderId="0" xfId="23" applyFont="1" applyAlignment="1">
      <alignment vertical="top"/>
    </xf>
    <xf numFmtId="0" fontId="6" fillId="0" borderId="0" xfId="23" applyFont="1" applyBorder="1"/>
    <xf numFmtId="0" fontId="8" fillId="0" borderId="0" xfId="23" applyFont="1" applyBorder="1"/>
    <xf numFmtId="0" fontId="7" fillId="0" borderId="0" xfId="23" applyFont="1" applyBorder="1" applyAlignment="1">
      <alignment horizontal="center"/>
    </xf>
    <xf numFmtId="0" fontId="6" fillId="0" borderId="0" xfId="23" applyFont="1"/>
    <xf numFmtId="0" fontId="6" fillId="0" borderId="0" xfId="23" applyFont="1" applyAlignment="1">
      <alignment vertical="center"/>
    </xf>
    <xf numFmtId="0" fontId="30" fillId="0" borderId="0" xfId="23" applyFont="1" applyAlignment="1">
      <alignment vertical="center"/>
    </xf>
    <xf numFmtId="0" fontId="30" fillId="0" borderId="0" xfId="23" applyFont="1" applyAlignment="1">
      <alignment vertical="center" wrapText="1"/>
    </xf>
    <xf numFmtId="0" fontId="23" fillId="0" borderId="0" xfId="23" applyFont="1" applyAlignment="1">
      <alignment vertical="center"/>
    </xf>
    <xf numFmtId="0" fontId="31" fillId="0" borderId="0" xfId="23" applyFont="1" applyAlignment="1">
      <alignment horizontal="center"/>
    </xf>
    <xf numFmtId="0" fontId="32" fillId="0" borderId="0" xfId="23" applyFont="1" applyAlignment="1">
      <alignment horizontal="center"/>
    </xf>
    <xf numFmtId="0" fontId="30" fillId="0" borderId="0" xfId="23" applyFont="1"/>
    <xf numFmtId="0" fontId="7" fillId="0" borderId="0" xfId="23" applyFont="1" applyBorder="1" applyAlignment="1">
      <alignment horizontal="left" vertical="top" wrapText="1"/>
    </xf>
    <xf numFmtId="0" fontId="6" fillId="0" borderId="0" xfId="23" applyFont="1" applyBorder="1" applyAlignment="1">
      <alignment horizontal="left" vertical="top" wrapText="1"/>
    </xf>
    <xf numFmtId="0" fontId="33" fillId="0" borderId="0" xfId="23" applyFont="1" applyAlignment="1">
      <alignment vertical="center"/>
    </xf>
    <xf numFmtId="0" fontId="30" fillId="0" borderId="0" xfId="23" applyFont="1" applyBorder="1"/>
    <xf numFmtId="0" fontId="33" fillId="0" borderId="0" xfId="23" applyFont="1" applyBorder="1"/>
    <xf numFmtId="0" fontId="5" fillId="0" borderId="0" xfId="23" applyFont="1" applyBorder="1" applyAlignment="1">
      <alignment horizontal="left"/>
    </xf>
    <xf numFmtId="2" fontId="9" fillId="0" borderId="0" xfId="19" applyNumberFormat="1" applyFont="1" applyFill="1" applyBorder="1" applyAlignment="1">
      <alignment horizontal="center" vertical="top"/>
    </xf>
    <xf numFmtId="0" fontId="3" fillId="0" borderId="0" xfId="12" applyFont="1" applyFill="1" applyBorder="1" applyAlignment="1">
      <alignment vertical="center"/>
    </xf>
    <xf numFmtId="0" fontId="34" fillId="0" borderId="0" xfId="12" applyFont="1" applyFill="1" applyBorder="1" applyAlignment="1">
      <alignment horizontal="center" vertical="center"/>
    </xf>
    <xf numFmtId="0" fontId="35" fillId="0" borderId="0" xfId="12" applyFont="1" applyFill="1" applyBorder="1" applyAlignment="1">
      <alignment horizontal="center" vertical="center"/>
    </xf>
    <xf numFmtId="0" fontId="3" fillId="0" borderId="18" xfId="12" applyFont="1" applyFill="1" applyBorder="1" applyAlignment="1">
      <alignment horizontal="center" vertical="center"/>
    </xf>
    <xf numFmtId="0" fontId="4" fillId="0" borderId="19" xfId="12" applyFont="1" applyFill="1" applyBorder="1" applyAlignment="1">
      <alignment horizontal="center" vertical="center"/>
    </xf>
    <xf numFmtId="0" fontId="4" fillId="0" borderId="20" xfId="12" applyFont="1" applyFill="1" applyBorder="1" applyAlignment="1">
      <alignment horizontal="center" vertical="center" wrapText="1"/>
    </xf>
    <xf numFmtId="0" fontId="4" fillId="0" borderId="21" xfId="12" applyFont="1" applyFill="1" applyBorder="1" applyAlignment="1">
      <alignment horizontal="center" vertical="center" wrapText="1"/>
    </xf>
    <xf numFmtId="0" fontId="13" fillId="0" borderId="5" xfId="12" applyFont="1" applyFill="1" applyBorder="1" applyAlignment="1">
      <alignment horizontal="center" vertical="center"/>
    </xf>
    <xf numFmtId="0" fontId="13" fillId="0" borderId="22" xfId="12" applyFont="1" applyFill="1" applyBorder="1" applyAlignment="1">
      <alignment horizontal="center" vertical="center"/>
    </xf>
    <xf numFmtId="3" fontId="13" fillId="0" borderId="5" xfId="12" applyNumberFormat="1" applyFont="1" applyFill="1" applyBorder="1" applyAlignment="1">
      <alignment horizontal="center" vertical="center"/>
    </xf>
    <xf numFmtId="0" fontId="13" fillId="0" borderId="6" xfId="12" applyFont="1" applyFill="1" applyBorder="1" applyAlignment="1">
      <alignment horizontal="center" vertical="center"/>
    </xf>
    <xf numFmtId="0" fontId="4" fillId="0" borderId="0" xfId="12" applyFont="1" applyFill="1" applyBorder="1" applyAlignment="1">
      <alignment vertical="center"/>
    </xf>
    <xf numFmtId="0" fontId="4" fillId="0" borderId="4" xfId="12" applyFont="1" applyFill="1" applyBorder="1" applyAlignment="1">
      <alignment horizontal="centerContinuous" vertical="center"/>
    </xf>
    <xf numFmtId="0" fontId="4" fillId="0" borderId="22" xfId="12" applyFont="1" applyFill="1" applyBorder="1" applyAlignment="1">
      <alignment horizontal="centerContinuous" vertical="center"/>
    </xf>
    <xf numFmtId="0" fontId="4" fillId="0" borderId="23" xfId="12" applyFont="1" applyFill="1" applyBorder="1" applyAlignment="1">
      <alignment horizontal="centerContinuous" vertical="center"/>
    </xf>
    <xf numFmtId="0" fontId="13" fillId="0" borderId="0" xfId="12" applyFont="1" applyFill="1" applyBorder="1" applyAlignment="1">
      <alignment horizontal="center" vertical="center"/>
    </xf>
    <xf numFmtId="0" fontId="13" fillId="0" borderId="11" xfId="12" applyFont="1" applyFill="1" applyBorder="1" applyAlignment="1">
      <alignment horizontal="center" vertical="center"/>
    </xf>
    <xf numFmtId="0" fontId="4" fillId="0" borderId="11" xfId="12" applyFont="1" applyFill="1" applyBorder="1" applyAlignment="1">
      <alignment horizontal="center" vertical="center"/>
    </xf>
    <xf numFmtId="3" fontId="13" fillId="0" borderId="11" xfId="12" applyNumberFormat="1" applyFont="1" applyFill="1" applyBorder="1" applyAlignment="1">
      <alignment horizontal="center" vertical="center"/>
    </xf>
    <xf numFmtId="0" fontId="13" fillId="0" borderId="24" xfId="12" applyFont="1" applyFill="1" applyBorder="1" applyAlignment="1">
      <alignment horizontal="center" vertical="center"/>
    </xf>
    <xf numFmtId="0" fontId="4" fillId="0" borderId="0" xfId="12" applyFont="1" applyFill="1" applyBorder="1" applyAlignment="1">
      <alignment horizontal="centerContinuous" vertical="center"/>
    </xf>
    <xf numFmtId="0" fontId="10" fillId="0" borderId="25" xfId="12" applyFont="1" applyFill="1" applyBorder="1" applyAlignment="1">
      <alignment horizontal="center" vertical="top"/>
    </xf>
    <xf numFmtId="49" fontId="9" fillId="0" borderId="26" xfId="12" applyNumberFormat="1" applyFont="1" applyFill="1" applyBorder="1" applyAlignment="1">
      <alignment horizontal="center" vertical="center" wrapText="1"/>
    </xf>
    <xf numFmtId="0" fontId="10" fillId="0" borderId="26" xfId="12" applyFont="1" applyFill="1" applyBorder="1" applyAlignment="1">
      <alignment horizontal="center" vertical="top" wrapText="1"/>
    </xf>
    <xf numFmtId="0" fontId="28" fillId="0" borderId="26" xfId="12" applyFont="1" applyFill="1" applyBorder="1" applyAlignment="1">
      <alignment horizontal="center" vertical="top" wrapText="1"/>
    </xf>
    <xf numFmtId="3" fontId="6" fillId="0" borderId="26" xfId="12" applyNumberFormat="1" applyFont="1" applyFill="1" applyBorder="1" applyAlignment="1">
      <alignment vertical="center"/>
    </xf>
    <xf numFmtId="168" fontId="6" fillId="0" borderId="26" xfId="12" applyNumberFormat="1" applyFont="1" applyFill="1" applyBorder="1" applyAlignment="1">
      <alignment vertical="center"/>
    </xf>
    <xf numFmtId="168" fontId="3" fillId="0" borderId="26" xfId="12" applyNumberFormat="1" applyFont="1" applyFill="1" applyBorder="1" applyAlignment="1">
      <alignment vertical="center"/>
    </xf>
    <xf numFmtId="168" fontId="11" fillId="0" borderId="27" xfId="12" applyNumberFormat="1" applyFont="1" applyFill="1" applyBorder="1" applyAlignment="1">
      <alignment horizontal="center" vertical="center"/>
    </xf>
    <xf numFmtId="169" fontId="11" fillId="0" borderId="14" xfId="12" applyNumberFormat="1" applyFont="1" applyFill="1" applyBorder="1" applyAlignment="1">
      <alignment horizontal="center" vertical="center"/>
    </xf>
    <xf numFmtId="169" fontId="11" fillId="0" borderId="15" xfId="12" applyNumberFormat="1" applyFont="1" applyFill="1" applyBorder="1" applyAlignment="1">
      <alignment horizontal="center" vertical="center"/>
    </xf>
    <xf numFmtId="169" fontId="11" fillId="0" borderId="28" xfId="12" applyNumberFormat="1" applyFont="1" applyFill="1" applyBorder="1" applyAlignment="1">
      <alignment horizontal="center" vertical="center"/>
    </xf>
    <xf numFmtId="164" fontId="3" fillId="0" borderId="0" xfId="12" applyNumberFormat="1" applyFont="1" applyFill="1" applyBorder="1" applyAlignment="1">
      <alignment vertical="center"/>
    </xf>
    <xf numFmtId="0" fontId="10" fillId="3" borderId="14" xfId="12" applyFont="1" applyFill="1" applyBorder="1" applyAlignment="1">
      <alignment horizontal="center" vertical="top"/>
    </xf>
    <xf numFmtId="49" fontId="9" fillId="0" borderId="29" xfId="12" applyNumberFormat="1" applyFont="1" applyFill="1" applyBorder="1" applyAlignment="1">
      <alignment horizontal="center" vertical="center" wrapText="1"/>
    </xf>
    <xf numFmtId="49" fontId="6" fillId="0" borderId="29" xfId="12" applyNumberFormat="1" applyFont="1" applyFill="1" applyBorder="1" applyAlignment="1">
      <alignment horizontal="center" vertical="center" wrapText="1"/>
    </xf>
    <xf numFmtId="0" fontId="36" fillId="4" borderId="30" xfId="12" applyFont="1" applyFill="1" applyBorder="1" applyAlignment="1">
      <alignment horizontal="center" vertical="top" wrapText="1"/>
    </xf>
    <xf numFmtId="168" fontId="8" fillId="0" borderId="29" xfId="12" applyNumberFormat="1" applyFont="1" applyFill="1" applyBorder="1" applyAlignment="1">
      <alignment horizontal="center" vertical="center"/>
    </xf>
    <xf numFmtId="168" fontId="3" fillId="0" borderId="29" xfId="12" applyNumberFormat="1" applyFont="1" applyFill="1" applyBorder="1" applyAlignment="1">
      <alignment horizontal="center" vertical="center"/>
    </xf>
    <xf numFmtId="168" fontId="37" fillId="0" borderId="31" xfId="12" applyNumberFormat="1" applyFont="1" applyFill="1" applyBorder="1" applyAlignment="1">
      <alignment horizontal="center" vertical="center"/>
    </xf>
    <xf numFmtId="0" fontId="13" fillId="0" borderId="14" xfId="12" applyFont="1" applyFill="1" applyBorder="1" applyAlignment="1">
      <alignment horizontal="center" vertical="center"/>
    </xf>
    <xf numFmtId="49" fontId="13" fillId="0" borderId="29" xfId="12" applyNumberFormat="1" applyFont="1" applyFill="1" applyBorder="1" applyAlignment="1">
      <alignment horizontal="center" vertical="center" wrapText="1"/>
    </xf>
    <xf numFmtId="0" fontId="4" fillId="0" borderId="30" xfId="12" applyFont="1" applyFill="1" applyBorder="1" applyAlignment="1">
      <alignment vertical="center" wrapText="1"/>
    </xf>
    <xf numFmtId="170" fontId="11" fillId="0" borderId="15" xfId="12" applyNumberFormat="1" applyFont="1" applyFill="1" applyBorder="1" applyAlignment="1">
      <alignment horizontal="center" vertical="center"/>
    </xf>
    <xf numFmtId="164" fontId="4" fillId="0" borderId="0" xfId="12" applyNumberFormat="1" applyFont="1" applyFill="1" applyBorder="1" applyAlignment="1">
      <alignment horizontal="center" vertical="center"/>
    </xf>
    <xf numFmtId="0" fontId="4" fillId="0" borderId="0" xfId="12" applyFont="1" applyFill="1" applyBorder="1"/>
    <xf numFmtId="0" fontId="10" fillId="0" borderId="30" xfId="12" applyFont="1" applyFill="1" applyBorder="1" applyAlignment="1">
      <alignment horizontal="right" vertical="center"/>
    </xf>
    <xf numFmtId="168" fontId="9" fillId="3" borderId="29" xfId="12" applyNumberFormat="1" applyFont="1" applyFill="1" applyBorder="1" applyAlignment="1">
      <alignment horizontal="center" vertical="center"/>
    </xf>
    <xf numFmtId="168" fontId="9" fillId="3" borderId="31" xfId="12" applyNumberFormat="1" applyFont="1" applyFill="1" applyBorder="1" applyAlignment="1">
      <alignment horizontal="center" vertical="center"/>
    </xf>
    <xf numFmtId="0" fontId="4" fillId="0" borderId="30" xfId="12" applyFont="1" applyFill="1" applyBorder="1" applyAlignment="1">
      <alignment vertical="center"/>
    </xf>
    <xf numFmtId="0" fontId="9" fillId="4" borderId="29" xfId="12" applyFont="1" applyFill="1" applyBorder="1" applyAlignment="1">
      <alignment horizontal="center" vertical="top" wrapText="1"/>
    </xf>
    <xf numFmtId="49" fontId="7" fillId="0" borderId="29" xfId="12" applyNumberFormat="1" applyFont="1" applyFill="1" applyBorder="1" applyAlignment="1">
      <alignment horizontal="center" vertical="center" wrapText="1"/>
    </xf>
    <xf numFmtId="168" fontId="8" fillId="0" borderId="31" xfId="12" applyNumberFormat="1" applyFont="1" applyFill="1" applyBorder="1" applyAlignment="1">
      <alignment horizontal="center" vertical="center"/>
    </xf>
    <xf numFmtId="0" fontId="11" fillId="0" borderId="14" xfId="12" applyFont="1" applyFill="1" applyBorder="1" applyAlignment="1">
      <alignment vertical="center"/>
    </xf>
    <xf numFmtId="0" fontId="10" fillId="0" borderId="14" xfId="12" applyFont="1" applyFill="1" applyBorder="1" applyAlignment="1">
      <alignment horizontal="centerContinuous" vertical="center"/>
    </xf>
    <xf numFmtId="0" fontId="28" fillId="0" borderId="30" xfId="12" applyFont="1" applyFill="1" applyBorder="1" applyAlignment="1">
      <alignment horizontal="centerContinuous" vertical="center"/>
    </xf>
    <xf numFmtId="168" fontId="9" fillId="5" borderId="29" xfId="12" applyNumberFormat="1" applyFont="1" applyFill="1" applyBorder="1" applyAlignment="1">
      <alignment horizontal="center" vertical="center"/>
    </xf>
    <xf numFmtId="168" fontId="9" fillId="5" borderId="31" xfId="12" applyNumberFormat="1" applyFont="1" applyFill="1" applyBorder="1" applyAlignment="1">
      <alignment horizontal="center" vertical="center"/>
    </xf>
    <xf numFmtId="1" fontId="3" fillId="0" borderId="0" xfId="12" applyNumberFormat="1" applyFont="1" applyFill="1" applyBorder="1" applyAlignment="1">
      <alignment vertical="center"/>
    </xf>
    <xf numFmtId="0" fontId="10" fillId="3" borderId="30" xfId="12" applyFont="1" applyFill="1" applyBorder="1" applyAlignment="1">
      <alignment horizontal="center" vertical="top"/>
    </xf>
    <xf numFmtId="49" fontId="6" fillId="0" borderId="32" xfId="12" applyNumberFormat="1" applyFont="1" applyFill="1" applyBorder="1" applyAlignment="1">
      <alignment horizontal="center" vertical="center" wrapText="1"/>
    </xf>
    <xf numFmtId="3" fontId="8" fillId="0" borderId="29" xfId="12" applyNumberFormat="1" applyFont="1" applyFill="1" applyBorder="1" applyAlignment="1">
      <alignment horizontal="center" vertical="center"/>
    </xf>
    <xf numFmtId="168" fontId="6" fillId="0" borderId="29" xfId="12" applyNumberFormat="1" applyFont="1" applyFill="1" applyBorder="1" applyAlignment="1">
      <alignment vertical="center"/>
    </xf>
    <xf numFmtId="168" fontId="3" fillId="0" borderId="29" xfId="12" applyNumberFormat="1" applyFont="1" applyFill="1" applyBorder="1" applyAlignment="1">
      <alignment vertical="center"/>
    </xf>
    <xf numFmtId="168" fontId="11" fillId="0" borderId="31" xfId="12" applyNumberFormat="1" applyFont="1" applyFill="1" applyBorder="1" applyAlignment="1">
      <alignment horizontal="center" vertical="center"/>
    </xf>
    <xf numFmtId="0" fontId="3" fillId="0" borderId="30" xfId="12" applyFont="1" applyFill="1" applyBorder="1" applyAlignment="1">
      <alignment horizontal="center" vertical="center"/>
    </xf>
    <xf numFmtId="168" fontId="11" fillId="0" borderId="29" xfId="12" applyNumberFormat="1" applyFont="1" applyFill="1" applyBorder="1" applyAlignment="1">
      <alignment horizontal="center" vertical="center"/>
    </xf>
    <xf numFmtId="0" fontId="3" fillId="0" borderId="30" xfId="12" applyFont="1" applyFill="1" applyBorder="1" applyAlignment="1">
      <alignment vertical="center"/>
    </xf>
    <xf numFmtId="168" fontId="9" fillId="3" borderId="28" xfId="12" applyNumberFormat="1" applyFont="1" applyFill="1" applyBorder="1" applyAlignment="1">
      <alignment horizontal="center" vertical="center"/>
    </xf>
    <xf numFmtId="0" fontId="3" fillId="0" borderId="14" xfId="12" applyFont="1" applyFill="1" applyBorder="1" applyAlignment="1">
      <alignment horizontal="center" vertical="center"/>
    </xf>
    <xf numFmtId="0" fontId="3" fillId="0" borderId="14" xfId="12" applyFont="1" applyFill="1" applyBorder="1" applyAlignment="1">
      <alignment vertical="center"/>
    </xf>
    <xf numFmtId="0" fontId="5" fillId="0" borderId="33" xfId="12" applyFont="1" applyFill="1" applyBorder="1" applyAlignment="1">
      <alignment horizontal="centerContinuous" vertical="center"/>
    </xf>
    <xf numFmtId="0" fontId="5" fillId="0" borderId="34" xfId="12" applyFont="1" applyFill="1" applyBorder="1" applyAlignment="1">
      <alignment horizontal="center" vertical="center" wrapText="1"/>
    </xf>
    <xf numFmtId="49" fontId="6" fillId="0" borderId="34" xfId="12" applyNumberFormat="1" applyFont="1" applyFill="1" applyBorder="1" applyAlignment="1">
      <alignment horizontal="center" vertical="center" wrapText="1"/>
    </xf>
    <xf numFmtId="0" fontId="28" fillId="0" borderId="35" xfId="12" applyFont="1" applyFill="1" applyBorder="1" applyAlignment="1">
      <alignment horizontal="centerContinuous" vertical="center"/>
    </xf>
    <xf numFmtId="168" fontId="9" fillId="5" borderId="34" xfId="12" applyNumberFormat="1" applyFont="1" applyFill="1" applyBorder="1" applyAlignment="1">
      <alignment horizontal="center" vertical="center"/>
    </xf>
    <xf numFmtId="0" fontId="6" fillId="0" borderId="36" xfId="12" applyFont="1" applyFill="1" applyBorder="1" applyAlignment="1">
      <alignment horizontal="center" vertical="center"/>
    </xf>
    <xf numFmtId="0" fontId="9" fillId="0" borderId="37" xfId="12" applyFont="1" applyFill="1" applyBorder="1" applyAlignment="1">
      <alignment horizontal="center" vertical="center"/>
    </xf>
    <xf numFmtId="0" fontId="9" fillId="0" borderId="38" xfId="12" applyFont="1" applyFill="1" applyBorder="1" applyAlignment="1">
      <alignment horizontal="center" vertical="center"/>
    </xf>
    <xf numFmtId="0" fontId="39" fillId="0" borderId="39" xfId="12" applyFont="1" applyFill="1" applyBorder="1" applyAlignment="1">
      <alignment horizontal="left" vertical="center"/>
    </xf>
    <xf numFmtId="168" fontId="8" fillId="0" borderId="37" xfId="12" applyNumberFormat="1" applyFont="1" applyFill="1" applyBorder="1" applyAlignment="1">
      <alignment horizontal="center" vertical="center"/>
    </xf>
    <xf numFmtId="168" fontId="8" fillId="0" borderId="5" xfId="12" applyNumberFormat="1" applyFont="1" applyFill="1" applyBorder="1" applyAlignment="1">
      <alignment horizontal="center" vertical="center"/>
    </xf>
    <xf numFmtId="168" fontId="8" fillId="0" borderId="40" xfId="12" applyNumberFormat="1" applyFont="1" applyFill="1" applyBorder="1" applyAlignment="1">
      <alignment horizontal="center" vertical="center"/>
    </xf>
    <xf numFmtId="0" fontId="6" fillId="0" borderId="0" xfId="12" applyFont="1" applyFill="1" applyBorder="1" applyAlignment="1">
      <alignment vertical="center"/>
    </xf>
    <xf numFmtId="0" fontId="9" fillId="0" borderId="5" xfId="12" applyFont="1" applyFill="1" applyBorder="1" applyAlignment="1">
      <alignment horizontal="center" vertical="center"/>
    </xf>
    <xf numFmtId="0" fontId="9" fillId="0" borderId="41" xfId="12" applyFont="1" applyFill="1" applyBorder="1" applyAlignment="1">
      <alignment horizontal="center" vertical="center"/>
    </xf>
    <xf numFmtId="0" fontId="28" fillId="0" borderId="36" xfId="12" applyFont="1" applyFill="1" applyBorder="1" applyAlignment="1">
      <alignment horizontal="right" vertical="center"/>
    </xf>
    <xf numFmtId="168" fontId="28" fillId="6" borderId="5" xfId="12" applyNumberFormat="1" applyFont="1" applyFill="1" applyBorder="1" applyAlignment="1">
      <alignment horizontal="center" vertical="center"/>
    </xf>
    <xf numFmtId="168" fontId="28" fillId="6" borderId="41" xfId="12" applyNumberFormat="1" applyFont="1" applyFill="1" applyBorder="1" applyAlignment="1">
      <alignment horizontal="center" vertical="center"/>
    </xf>
    <xf numFmtId="168" fontId="40" fillId="6" borderId="6" xfId="12" applyNumberFormat="1" applyFont="1" applyFill="1" applyBorder="1" applyAlignment="1">
      <alignment horizontal="center" vertical="center"/>
    </xf>
    <xf numFmtId="2" fontId="3" fillId="0" borderId="0" xfId="12" applyNumberFormat="1" applyFont="1" applyFill="1" applyBorder="1" applyAlignment="1">
      <alignment vertical="center"/>
    </xf>
    <xf numFmtId="0" fontId="3" fillId="0" borderId="0" xfId="11" applyFont="1" applyFill="1" applyBorder="1"/>
    <xf numFmtId="0" fontId="3" fillId="0" borderId="0" xfId="11" applyFont="1" applyFill="1" applyBorder="1" applyAlignment="1">
      <alignment horizontal="center"/>
    </xf>
    <xf numFmtId="0" fontId="11" fillId="0" borderId="0" xfId="19" applyFont="1" applyFill="1" applyAlignment="1">
      <alignment horizontal="left" vertical="top"/>
    </xf>
    <xf numFmtId="168" fontId="11" fillId="0" borderId="0" xfId="11" applyNumberFormat="1" applyFont="1" applyFill="1" applyBorder="1" applyAlignment="1">
      <alignment horizontal="center" vertical="top"/>
    </xf>
    <xf numFmtId="0" fontId="3" fillId="0" borderId="0" xfId="11" applyNumberFormat="1" applyFont="1" applyFill="1" applyBorder="1"/>
    <xf numFmtId="0" fontId="3" fillId="0" borderId="0" xfId="19" applyFont="1" applyFill="1" applyBorder="1"/>
    <xf numFmtId="0" fontId="3" fillId="0" borderId="0" xfId="23" applyBorder="1"/>
    <xf numFmtId="0" fontId="3" fillId="0" borderId="0" xfId="23" applyBorder="1" applyAlignment="1">
      <alignment wrapText="1"/>
    </xf>
    <xf numFmtId="0" fontId="11" fillId="0" borderId="0" xfId="19" applyFont="1" applyFill="1" applyBorder="1"/>
    <xf numFmtId="0" fontId="3" fillId="0" borderId="0" xfId="23"/>
    <xf numFmtId="0" fontId="3" fillId="0" borderId="0" xfId="12" applyFont="1" applyFill="1" applyBorder="1" applyAlignment="1">
      <alignment horizontal="center"/>
    </xf>
    <xf numFmtId="0" fontId="3" fillId="0" borderId="0" xfId="12" applyFont="1" applyFill="1" applyBorder="1" applyAlignment="1">
      <alignment vertical="top"/>
    </xf>
    <xf numFmtId="1" fontId="11" fillId="0" borderId="0" xfId="12" applyNumberFormat="1" applyFont="1" applyFill="1" applyBorder="1" applyAlignment="1">
      <alignment horizontal="center" vertical="center"/>
    </xf>
    <xf numFmtId="168" fontId="3" fillId="0" borderId="0" xfId="12" applyNumberFormat="1" applyFont="1" applyFill="1" applyBorder="1"/>
    <xf numFmtId="164" fontId="56" fillId="0" borderId="2" xfId="5" applyNumberFormat="1" applyFont="1" applyFill="1" applyBorder="1" applyAlignment="1">
      <alignment horizontal="center" vertical="top"/>
    </xf>
    <xf numFmtId="0" fontId="20" fillId="0" borderId="33" xfId="18" applyNumberFormat="1" applyFont="1" applyFill="1" applyBorder="1" applyAlignment="1">
      <alignment horizontal="center" vertical="top"/>
    </xf>
    <xf numFmtId="49" fontId="20" fillId="0" borderId="16" xfId="18" applyNumberFormat="1" applyFont="1" applyFill="1" applyBorder="1" applyAlignment="1">
      <alignment horizontal="right" vertical="top"/>
    </xf>
    <xf numFmtId="0" fontId="5" fillId="0" borderId="0" xfId="23" applyFont="1" applyBorder="1" applyAlignment="1">
      <alignment horizontal="left" vertical="center"/>
    </xf>
    <xf numFmtId="2" fontId="3" fillId="0" borderId="0" xfId="17" applyNumberFormat="1" applyFont="1" applyAlignment="1">
      <alignment vertical="top"/>
    </xf>
    <xf numFmtId="0" fontId="3" fillId="0" borderId="0" xfId="17" applyFont="1" applyAlignment="1">
      <alignment vertical="top"/>
    </xf>
    <xf numFmtId="2" fontId="3" fillId="0" borderId="2" xfId="5" applyNumberFormat="1" applyFont="1" applyFill="1" applyBorder="1" applyAlignment="1">
      <alignment vertical="top"/>
    </xf>
    <xf numFmtId="49" fontId="4" fillId="0" borderId="2" xfId="5" applyNumberFormat="1" applyFont="1" applyFill="1" applyBorder="1" applyAlignment="1">
      <alignment horizontal="right" vertical="center"/>
    </xf>
    <xf numFmtId="166" fontId="3" fillId="0" borderId="2" xfId="5" applyNumberFormat="1" applyFont="1" applyFill="1" applyBorder="1" applyAlignment="1">
      <alignment horizontal="center" vertical="top"/>
    </xf>
    <xf numFmtId="0" fontId="4" fillId="0" borderId="42" xfId="18" applyFont="1" applyFill="1" applyBorder="1" applyAlignment="1">
      <alignment vertical="top"/>
    </xf>
    <xf numFmtId="164" fontId="3" fillId="0" borderId="5" xfId="5" applyNumberFormat="1" applyFont="1" applyFill="1" applyBorder="1" applyAlignment="1">
      <alignment horizontal="center" vertical="top"/>
    </xf>
    <xf numFmtId="0" fontId="3" fillId="0" borderId="5" xfId="18" applyNumberFormat="1" applyFont="1" applyFill="1" applyBorder="1" applyAlignment="1">
      <alignment horizontal="center" vertical="top"/>
    </xf>
    <xf numFmtId="164" fontId="11" fillId="0" borderId="6" xfId="18" applyNumberFormat="1" applyFont="1" applyFill="1" applyBorder="1" applyAlignment="1">
      <alignment horizontal="center" vertical="top"/>
    </xf>
    <xf numFmtId="2" fontId="3" fillId="0" borderId="2" xfId="5" applyNumberFormat="1" applyFont="1" applyFill="1" applyBorder="1" applyAlignment="1">
      <alignment horizontal="center" vertical="center"/>
    </xf>
    <xf numFmtId="164" fontId="11" fillId="0" borderId="43" xfId="18" applyNumberFormat="1" applyFont="1" applyFill="1" applyBorder="1" applyAlignment="1">
      <alignment horizontal="center" vertical="top"/>
    </xf>
    <xf numFmtId="164" fontId="3" fillId="0" borderId="44" xfId="18" applyNumberFormat="1" applyFont="1" applyFill="1" applyBorder="1" applyAlignment="1">
      <alignment horizontal="right" vertical="top"/>
    </xf>
    <xf numFmtId="164" fontId="11" fillId="0" borderId="44" xfId="18" applyNumberFormat="1" applyFont="1" applyFill="1" applyBorder="1" applyAlignment="1">
      <alignment horizontal="center" vertical="top"/>
    </xf>
    <xf numFmtId="164" fontId="11" fillId="0" borderId="45" xfId="18" applyNumberFormat="1" applyFont="1" applyFill="1" applyBorder="1" applyAlignment="1">
      <alignment horizontal="center" vertical="top"/>
    </xf>
    <xf numFmtId="164" fontId="3" fillId="0" borderId="11" xfId="5" applyNumberFormat="1" applyFont="1" applyFill="1" applyBorder="1" applyAlignment="1">
      <alignment horizontal="center" vertical="top"/>
    </xf>
    <xf numFmtId="0" fontId="3" fillId="0" borderId="11" xfId="18" applyNumberFormat="1" applyFont="1" applyFill="1" applyBorder="1" applyAlignment="1">
      <alignment horizontal="center" vertical="top"/>
    </xf>
    <xf numFmtId="2" fontId="11" fillId="0" borderId="24" xfId="18" applyNumberFormat="1" applyFont="1" applyFill="1" applyBorder="1" applyAlignment="1">
      <alignment horizontal="center" vertical="top"/>
    </xf>
    <xf numFmtId="1" fontId="18" fillId="0" borderId="46" xfId="18" applyNumberFormat="1" applyFont="1" applyFill="1" applyBorder="1" applyAlignment="1">
      <alignment horizontal="center" vertical="top" wrapText="1"/>
    </xf>
    <xf numFmtId="164" fontId="18" fillId="0" borderId="11" xfId="18" applyNumberFormat="1" applyFont="1" applyFill="1" applyBorder="1" applyAlignment="1">
      <alignment horizontal="center" vertical="top" wrapText="1"/>
    </xf>
    <xf numFmtId="1" fontId="18" fillId="0" borderId="11" xfId="18" applyNumberFormat="1" applyFont="1" applyFill="1" applyBorder="1" applyAlignment="1">
      <alignment horizontal="right" vertical="top" wrapText="1"/>
    </xf>
    <xf numFmtId="1" fontId="18" fillId="0" borderId="11" xfId="18" applyNumberFormat="1" applyFont="1" applyFill="1" applyBorder="1" applyAlignment="1">
      <alignment horizontal="center" vertical="top" wrapText="1"/>
    </xf>
    <xf numFmtId="2" fontId="18" fillId="0" borderId="11" xfId="18" applyNumberFormat="1" applyFont="1" applyFill="1" applyBorder="1" applyAlignment="1">
      <alignment horizontal="center" vertical="top" wrapText="1"/>
    </xf>
    <xf numFmtId="0" fontId="43" fillId="0" borderId="11" xfId="18" applyNumberFormat="1" applyFont="1" applyFill="1" applyBorder="1" applyAlignment="1">
      <alignment horizontal="center" vertical="top"/>
    </xf>
    <xf numFmtId="164" fontId="18" fillId="0" borderId="0" xfId="18" applyNumberFormat="1" applyFont="1" applyFill="1" applyBorder="1" applyAlignment="1">
      <alignment horizontal="center" vertical="top" wrapText="1"/>
    </xf>
    <xf numFmtId="1" fontId="18" fillId="0" borderId="0" xfId="18" applyNumberFormat="1" applyFont="1" applyFill="1" applyBorder="1" applyAlignment="1">
      <alignment horizontal="right" vertical="top" wrapText="1"/>
    </xf>
    <xf numFmtId="1" fontId="18" fillId="0" borderId="0" xfId="18" applyNumberFormat="1" applyFont="1" applyFill="1" applyBorder="1" applyAlignment="1">
      <alignment horizontal="center" vertical="top" wrapText="1"/>
    </xf>
    <xf numFmtId="2" fontId="18" fillId="0" borderId="0" xfId="18" applyNumberFormat="1" applyFont="1" applyFill="1" applyBorder="1" applyAlignment="1">
      <alignment horizontal="center" vertical="top" wrapText="1"/>
    </xf>
    <xf numFmtId="0" fontId="43" fillId="0" borderId="0" xfId="18" applyNumberFormat="1" applyFont="1" applyFill="1" applyBorder="1" applyAlignment="1">
      <alignment horizontal="center" vertical="top"/>
    </xf>
    <xf numFmtId="1" fontId="18" fillId="0" borderId="1" xfId="18" applyNumberFormat="1" applyFont="1" applyFill="1" applyBorder="1" applyAlignment="1">
      <alignment horizontal="center" vertical="top" wrapText="1"/>
    </xf>
    <xf numFmtId="1" fontId="18" fillId="0" borderId="1" xfId="18" applyNumberFormat="1" applyFont="1" applyFill="1" applyBorder="1" applyAlignment="1">
      <alignment horizontal="right" vertical="top" wrapText="1"/>
    </xf>
    <xf numFmtId="2" fontId="18" fillId="0" borderId="1" xfId="18" applyNumberFormat="1" applyFont="1" applyFill="1" applyBorder="1" applyAlignment="1">
      <alignment horizontal="center" vertical="top" wrapText="1"/>
    </xf>
    <xf numFmtId="0" fontId="43" fillId="0" borderId="1" xfId="18" applyNumberFormat="1" applyFont="1" applyFill="1" applyBorder="1" applyAlignment="1">
      <alignment horizontal="center" vertical="top"/>
    </xf>
    <xf numFmtId="49" fontId="42" fillId="0" borderId="2" xfId="5" applyNumberFormat="1" applyFont="1" applyFill="1" applyBorder="1" applyAlignment="1">
      <alignment horizontal="right" vertical="top"/>
    </xf>
    <xf numFmtId="1" fontId="4" fillId="0" borderId="0" xfId="18" applyNumberFormat="1" applyFont="1" applyFill="1" applyBorder="1" applyAlignment="1">
      <alignment vertical="top" wrapText="1"/>
    </xf>
    <xf numFmtId="1" fontId="8" fillId="0" borderId="0" xfId="18" applyNumberFormat="1" applyFont="1" applyFill="1" applyBorder="1" applyAlignment="1">
      <alignment vertical="top" wrapText="1"/>
    </xf>
    <xf numFmtId="1" fontId="4" fillId="0" borderId="0" xfId="18" applyNumberFormat="1" applyFont="1" applyFill="1" applyBorder="1" applyAlignment="1">
      <alignment horizontal="center" vertical="top" wrapText="1"/>
    </xf>
    <xf numFmtId="0" fontId="3" fillId="0" borderId="2" xfId="10" applyFont="1" applyFill="1" applyBorder="1" applyAlignment="1">
      <alignment horizontal="center" vertical="top" wrapText="1"/>
    </xf>
    <xf numFmtId="0" fontId="56" fillId="0" borderId="2" xfId="10" applyFont="1" applyFill="1" applyBorder="1" applyAlignment="1">
      <alignment horizontal="center" vertical="top" wrapText="1"/>
    </xf>
    <xf numFmtId="0" fontId="11" fillId="0" borderId="2" xfId="10" applyFont="1" applyFill="1" applyBorder="1" applyAlignment="1">
      <alignment horizontal="center" vertical="top" wrapText="1"/>
    </xf>
    <xf numFmtId="2" fontId="4" fillId="0" borderId="0" xfId="18" applyNumberFormat="1" applyFont="1" applyFill="1" applyBorder="1"/>
    <xf numFmtId="49" fontId="3" fillId="0" borderId="0" xfId="18" applyNumberFormat="1" applyFont="1" applyFill="1" applyAlignment="1">
      <alignment horizontal="centerContinuous" vertical="center"/>
    </xf>
    <xf numFmtId="2" fontId="3" fillId="0" borderId="0" xfId="18" applyNumberFormat="1" applyFont="1" applyFill="1" applyAlignment="1">
      <alignment horizontal="centerContinuous"/>
    </xf>
    <xf numFmtId="0" fontId="3" fillId="0" borderId="47" xfId="18" applyNumberFormat="1" applyFont="1" applyFill="1" applyBorder="1" applyAlignment="1">
      <alignment horizontal="centerContinuous" vertical="center" wrapText="1"/>
    </xf>
    <xf numFmtId="0" fontId="3" fillId="0" borderId="19" xfId="18" applyNumberFormat="1" applyFont="1" applyFill="1" applyBorder="1" applyAlignment="1">
      <alignment horizontal="centerContinuous" vertical="center" wrapText="1"/>
    </xf>
    <xf numFmtId="0" fontId="3" fillId="0" borderId="48" xfId="18" applyNumberFormat="1" applyFont="1" applyFill="1" applyBorder="1" applyAlignment="1">
      <alignment horizontal="centerContinuous" vertical="center" wrapText="1"/>
    </xf>
    <xf numFmtId="0" fontId="3" fillId="0" borderId="49" xfId="18" applyNumberFormat="1" applyFont="1" applyFill="1" applyBorder="1" applyAlignment="1">
      <alignment horizontal="centerContinuous" vertical="center" wrapText="1"/>
    </xf>
    <xf numFmtId="2" fontId="3" fillId="0" borderId="0" xfId="18" applyNumberFormat="1" applyFont="1" applyFill="1" applyAlignment="1">
      <alignment horizontal="left" wrapText="1"/>
    </xf>
    <xf numFmtId="0" fontId="3" fillId="0" borderId="0" xfId="18" applyFont="1" applyFill="1"/>
    <xf numFmtId="0" fontId="3" fillId="0" borderId="0" xfId="18" applyNumberFormat="1" applyFont="1" applyFill="1" applyAlignment="1">
      <alignment horizontal="center"/>
    </xf>
    <xf numFmtId="0" fontId="3" fillId="0" borderId="0" xfId="18" applyFont="1" applyFill="1" applyAlignment="1">
      <alignment horizontal="center"/>
    </xf>
    <xf numFmtId="164" fontId="3" fillId="0" borderId="0" xfId="18" applyNumberFormat="1" applyFont="1" applyFill="1" applyAlignment="1">
      <alignment horizontal="center"/>
    </xf>
    <xf numFmtId="2" fontId="3" fillId="0" borderId="0" xfId="18" applyNumberFormat="1" applyFont="1" applyFill="1" applyAlignment="1">
      <alignment horizontal="center"/>
    </xf>
    <xf numFmtId="164" fontId="3" fillId="0" borderId="0" xfId="18" applyNumberFormat="1" applyFont="1" applyFill="1" applyAlignment="1">
      <alignment horizontal="right"/>
    </xf>
    <xf numFmtId="2" fontId="3" fillId="0" borderId="0" xfId="18" applyNumberFormat="1" applyFont="1" applyFill="1" applyAlignment="1">
      <alignment horizontal="right"/>
    </xf>
    <xf numFmtId="0" fontId="3" fillId="0" borderId="0" xfId="13" applyFont="1" applyFill="1"/>
    <xf numFmtId="0" fontId="4" fillId="0" borderId="0" xfId="19" applyFont="1" applyFill="1"/>
    <xf numFmtId="2" fontId="3" fillId="0" borderId="0" xfId="13" applyNumberFormat="1" applyFont="1" applyFill="1"/>
    <xf numFmtId="0" fontId="22" fillId="0" borderId="2" xfId="21" applyFont="1" applyBorder="1" applyAlignment="1">
      <alignment horizontal="right" vertical="top" wrapText="1"/>
    </xf>
    <xf numFmtId="0" fontId="3" fillId="0" borderId="2" xfId="20" applyFont="1" applyBorder="1" applyAlignment="1">
      <alignment horizontal="center" vertical="top"/>
    </xf>
    <xf numFmtId="0" fontId="3" fillId="0" borderId="0" xfId="20" applyFont="1" applyAlignment="1">
      <alignment vertical="top"/>
    </xf>
    <xf numFmtId="0" fontId="24" fillId="0" borderId="0" xfId="13"/>
    <xf numFmtId="164" fontId="4" fillId="0" borderId="0" xfId="18" applyNumberFormat="1" applyFont="1" applyFill="1" applyBorder="1" applyAlignment="1">
      <alignment vertical="top"/>
    </xf>
    <xf numFmtId="167" fontId="3" fillId="0" borderId="17" xfId="25" applyNumberFormat="1" applyFont="1" applyFill="1" applyBorder="1" applyAlignment="1">
      <alignment horizontal="center" vertical="top" wrapText="1"/>
    </xf>
    <xf numFmtId="167" fontId="3" fillId="0" borderId="50" xfId="25" applyNumberFormat="1" applyFont="1" applyFill="1" applyBorder="1" applyAlignment="1">
      <alignment horizontal="center" vertical="top" wrapText="1"/>
    </xf>
    <xf numFmtId="0" fontId="24" fillId="0" borderId="0" xfId="13" applyFont="1"/>
    <xf numFmtId="2" fontId="45" fillId="0" borderId="0" xfId="12" applyNumberFormat="1" applyFont="1" applyFill="1" applyBorder="1"/>
    <xf numFmtId="0" fontId="28" fillId="0" borderId="0" xfId="12" applyFont="1" applyFill="1" applyBorder="1"/>
    <xf numFmtId="2" fontId="12" fillId="0" borderId="47" xfId="12" applyNumberFormat="1" applyFont="1" applyFill="1" applyBorder="1" applyAlignment="1">
      <alignment horizontal="center" vertical="center"/>
    </xf>
    <xf numFmtId="166" fontId="56" fillId="0" borderId="2" xfId="5" applyNumberFormat="1" applyFont="1" applyFill="1" applyBorder="1" applyAlignment="1">
      <alignment horizontal="center" vertical="top"/>
    </xf>
    <xf numFmtId="2" fontId="56" fillId="0" borderId="2" xfId="10" applyNumberFormat="1" applyFont="1" applyFill="1" applyBorder="1" applyAlignment="1">
      <alignment horizontal="center" vertical="top" wrapText="1"/>
    </xf>
    <xf numFmtId="165" fontId="3" fillId="0" borderId="2" xfId="5" applyNumberFormat="1" applyFont="1" applyFill="1" applyBorder="1" applyAlignment="1">
      <alignment horizontal="center" vertical="top"/>
    </xf>
    <xf numFmtId="0" fontId="3" fillId="0" borderId="2" xfId="5" applyNumberFormat="1" applyFont="1" applyFill="1" applyBorder="1" applyAlignment="1">
      <alignment horizontal="center" vertical="center"/>
    </xf>
    <xf numFmtId="0" fontId="5" fillId="0" borderId="7" xfId="18" applyNumberFormat="1" applyFont="1" applyFill="1" applyBorder="1" applyAlignment="1">
      <alignment horizontal="center" vertical="top"/>
    </xf>
    <xf numFmtId="0" fontId="11" fillId="0" borderId="7" xfId="7" applyNumberFormat="1" applyFont="1" applyFill="1" applyBorder="1" applyAlignment="1">
      <alignment horizontal="center" vertical="top"/>
    </xf>
    <xf numFmtId="49" fontId="13" fillId="0" borderId="2" xfId="7" applyNumberFormat="1" applyFont="1" applyFill="1" applyBorder="1" applyAlignment="1">
      <alignment horizontal="center" vertical="top" wrapText="1"/>
    </xf>
    <xf numFmtId="0" fontId="3" fillId="0" borderId="2" xfId="7" applyFont="1" applyFill="1" applyBorder="1" applyAlignment="1">
      <alignment horizontal="center" vertical="top" wrapText="1"/>
    </xf>
    <xf numFmtId="2" fontId="56" fillId="0" borderId="2" xfId="7" applyNumberFormat="1" applyFont="1" applyFill="1" applyBorder="1" applyAlignment="1">
      <alignment horizontal="center" vertical="top"/>
    </xf>
    <xf numFmtId="49" fontId="49" fillId="0" borderId="29" xfId="12" applyNumberFormat="1" applyFont="1" applyFill="1" applyBorder="1" applyAlignment="1">
      <alignment horizontal="center" vertical="center" wrapText="1"/>
    </xf>
    <xf numFmtId="2" fontId="10" fillId="0" borderId="2" xfId="5" applyNumberFormat="1" applyFont="1" applyFill="1" applyBorder="1" applyAlignment="1">
      <alignment horizontal="right" vertical="top" wrapText="1"/>
    </xf>
    <xf numFmtId="0" fontId="5" fillId="0" borderId="2" xfId="5" applyFont="1" applyFill="1" applyBorder="1" applyAlignment="1">
      <alignment horizontal="center" vertical="top" wrapText="1"/>
    </xf>
    <xf numFmtId="165" fontId="10" fillId="0" borderId="0" xfId="18" applyNumberFormat="1" applyFont="1" applyFill="1" applyBorder="1" applyAlignment="1">
      <alignment vertical="top"/>
    </xf>
    <xf numFmtId="2" fontId="3" fillId="0" borderId="2" xfId="7" applyNumberFormat="1" applyFont="1" applyFill="1" applyBorder="1" applyAlignment="1">
      <alignment horizontal="left" vertical="top" wrapText="1"/>
    </xf>
    <xf numFmtId="164" fontId="56" fillId="0" borderId="2" xfId="7" applyNumberFormat="1" applyFont="1" applyFill="1" applyBorder="1" applyAlignment="1">
      <alignment horizontal="center" vertical="top"/>
    </xf>
    <xf numFmtId="0" fontId="3" fillId="0" borderId="2" xfId="7" applyFont="1" applyFill="1" applyBorder="1" applyAlignment="1">
      <alignment horizontal="center" vertical="top"/>
    </xf>
    <xf numFmtId="0" fontId="11" fillId="0" borderId="2" xfId="7" applyNumberFormat="1" applyFont="1" applyFill="1" applyBorder="1" applyAlignment="1">
      <alignment horizontal="center" vertical="top"/>
    </xf>
    <xf numFmtId="2" fontId="3" fillId="0" borderId="2" xfId="7" applyNumberFormat="1" applyFont="1" applyFill="1" applyBorder="1" applyAlignment="1">
      <alignment horizontal="center" vertical="top"/>
    </xf>
    <xf numFmtId="2" fontId="3" fillId="2" borderId="2" xfId="7" applyNumberFormat="1" applyFont="1" applyFill="1" applyBorder="1" applyAlignment="1">
      <alignment horizontal="center" vertical="top"/>
    </xf>
    <xf numFmtId="164" fontId="11" fillId="0" borderId="8" xfId="7" applyNumberFormat="1" applyFont="1" applyFill="1" applyBorder="1" applyAlignment="1">
      <alignment horizontal="center" vertical="top"/>
    </xf>
    <xf numFmtId="2" fontId="3" fillId="0" borderId="0" xfId="7" applyNumberFormat="1" applyFont="1" applyFill="1" applyBorder="1" applyAlignment="1">
      <alignment horizontal="center"/>
    </xf>
    <xf numFmtId="0" fontId="3" fillId="0" borderId="0" xfId="7" applyFont="1" applyFill="1" applyBorder="1"/>
    <xf numFmtId="2" fontId="3" fillId="0" borderId="0" xfId="7" applyNumberFormat="1" applyFont="1" applyFill="1" applyBorder="1"/>
    <xf numFmtId="0" fontId="11" fillId="0" borderId="7" xfId="7" applyNumberFormat="1" applyFont="1" applyFill="1" applyBorder="1" applyAlignment="1">
      <alignment horizontal="center" vertical="center"/>
    </xf>
    <xf numFmtId="49" fontId="4" fillId="0" borderId="2" xfId="7" applyNumberFormat="1" applyFont="1" applyFill="1" applyBorder="1" applyAlignment="1">
      <alignment horizontal="right" vertical="center"/>
    </xf>
    <xf numFmtId="2" fontId="4" fillId="0" borderId="2" xfId="7" applyNumberFormat="1" applyFont="1" applyFill="1" applyBorder="1" applyAlignment="1">
      <alignment horizontal="right" vertical="top" wrapText="1"/>
    </xf>
    <xf numFmtId="0" fontId="3" fillId="0" borderId="2" xfId="7" applyFont="1" applyFill="1" applyBorder="1" applyAlignment="1">
      <alignment horizontal="center" vertical="center"/>
    </xf>
    <xf numFmtId="164" fontId="11" fillId="0" borderId="2" xfId="7" applyNumberFormat="1" applyFont="1" applyFill="1" applyBorder="1" applyAlignment="1">
      <alignment horizontal="center" vertical="top"/>
    </xf>
    <xf numFmtId="164" fontId="3" fillId="0" borderId="2" xfId="7" applyNumberFormat="1" applyFont="1" applyFill="1" applyBorder="1" applyAlignment="1">
      <alignment horizontal="center" vertical="top"/>
    </xf>
    <xf numFmtId="2" fontId="11" fillId="0" borderId="8" xfId="7" applyNumberFormat="1" applyFont="1" applyFill="1" applyBorder="1" applyAlignment="1">
      <alignment horizontal="center" vertical="top"/>
    </xf>
    <xf numFmtId="2" fontId="3" fillId="0" borderId="2" xfId="7" applyNumberFormat="1" applyFont="1" applyFill="1" applyBorder="1" applyAlignment="1">
      <alignment horizontal="right" vertical="center" wrapText="1"/>
    </xf>
    <xf numFmtId="0" fontId="3" fillId="0" borderId="0" xfId="22" applyFont="1" applyBorder="1"/>
    <xf numFmtId="2" fontId="4" fillId="0" borderId="2" xfId="7" applyNumberFormat="1" applyFont="1" applyFill="1" applyBorder="1" applyAlignment="1">
      <alignment horizontal="right" vertical="center" wrapText="1"/>
    </xf>
    <xf numFmtId="164" fontId="3" fillId="2" borderId="2" xfId="7" applyNumberFormat="1" applyFont="1" applyFill="1" applyBorder="1" applyAlignment="1">
      <alignment horizontal="center" vertical="top"/>
    </xf>
    <xf numFmtId="166" fontId="3" fillId="0" borderId="2" xfId="7" applyNumberFormat="1" applyFont="1" applyFill="1" applyBorder="1" applyAlignment="1">
      <alignment horizontal="center" vertical="top"/>
    </xf>
    <xf numFmtId="165" fontId="4" fillId="0" borderId="0" xfId="18" applyNumberFormat="1" applyFont="1" applyFill="1" applyBorder="1" applyAlignment="1">
      <alignment vertical="top"/>
    </xf>
    <xf numFmtId="0" fontId="11" fillId="0" borderId="2" xfId="5" applyFont="1" applyFill="1" applyBorder="1" applyAlignment="1">
      <alignment horizontal="center" vertical="top"/>
    </xf>
    <xf numFmtId="0" fontId="3" fillId="0" borderId="2" xfId="7" applyNumberFormat="1" applyFont="1" applyFill="1" applyBorder="1" applyAlignment="1">
      <alignment horizontal="center" vertical="center"/>
    </xf>
    <xf numFmtId="0" fontId="11" fillId="0" borderId="2" xfId="7" applyNumberFormat="1" applyFont="1" applyFill="1" applyBorder="1" applyAlignment="1">
      <alignment horizontal="center" vertical="center"/>
    </xf>
    <xf numFmtId="164" fontId="3" fillId="0" borderId="2" xfId="7" applyNumberFormat="1" applyFont="1" applyFill="1" applyBorder="1" applyAlignment="1">
      <alignment horizontal="center" vertical="center"/>
    </xf>
    <xf numFmtId="2" fontId="3" fillId="0" borderId="2" xfId="7" applyNumberFormat="1" applyFont="1" applyFill="1" applyBorder="1" applyAlignment="1">
      <alignment horizontal="center" vertical="center"/>
    </xf>
    <xf numFmtId="2" fontId="11" fillId="0" borderId="8" xfId="7" applyNumberFormat="1" applyFont="1" applyFill="1" applyBorder="1" applyAlignment="1">
      <alignment horizontal="center" vertical="center"/>
    </xf>
    <xf numFmtId="0" fontId="3" fillId="0" borderId="0" xfId="7" applyFont="1" applyFill="1" applyBorder="1" applyAlignment="1">
      <alignment vertical="center"/>
    </xf>
    <xf numFmtId="2" fontId="3" fillId="0" borderId="2" xfId="7" applyNumberFormat="1" applyFont="1" applyFill="1" applyBorder="1" applyAlignment="1">
      <alignment horizontal="left" vertical="center" wrapText="1"/>
    </xf>
    <xf numFmtId="0" fontId="3" fillId="0" borderId="0" xfId="5" applyFont="1" applyFill="1" applyBorder="1" applyAlignment="1">
      <alignment vertical="center"/>
    </xf>
    <xf numFmtId="0" fontId="13" fillId="0" borderId="2" xfId="10" applyFont="1" applyFill="1" applyBorder="1" applyAlignment="1">
      <alignment horizontal="center" vertical="top" wrapText="1"/>
    </xf>
    <xf numFmtId="164" fontId="3" fillId="0" borderId="2" xfId="5" applyNumberFormat="1" applyFont="1" applyFill="1" applyBorder="1" applyAlignment="1">
      <alignment horizontal="center" vertical="center"/>
    </xf>
    <xf numFmtId="165" fontId="3" fillId="2" borderId="2" xfId="5" applyNumberFormat="1" applyFont="1" applyFill="1" applyBorder="1" applyAlignment="1">
      <alignment horizontal="center" vertical="top"/>
    </xf>
    <xf numFmtId="2" fontId="11" fillId="0" borderId="8" xfId="5" applyNumberFormat="1" applyFont="1" applyFill="1" applyBorder="1" applyAlignment="1">
      <alignment horizontal="center" vertical="center"/>
    </xf>
    <xf numFmtId="0" fontId="11" fillId="0" borderId="2" xfId="7" applyFont="1" applyFill="1" applyBorder="1" applyAlignment="1">
      <alignment horizontal="center" vertical="top"/>
    </xf>
    <xf numFmtId="0" fontId="43" fillId="0" borderId="0" xfId="7" applyFont="1" applyFill="1" applyBorder="1" applyAlignment="1">
      <alignment vertical="center"/>
    </xf>
    <xf numFmtId="2" fontId="43" fillId="0" borderId="0" xfId="7" applyNumberFormat="1" applyFont="1" applyFill="1" applyBorder="1" applyAlignment="1">
      <alignment horizontal="center"/>
    </xf>
    <xf numFmtId="0" fontId="22" fillId="0" borderId="2" xfId="20" applyFont="1" applyBorder="1" applyAlignment="1">
      <alignment horizontal="right" vertical="top" wrapText="1"/>
    </xf>
    <xf numFmtId="168" fontId="8" fillId="0" borderId="28" xfId="12" applyNumberFormat="1" applyFont="1" applyFill="1" applyBorder="1" applyAlignment="1">
      <alignment horizontal="center" vertical="center"/>
    </xf>
    <xf numFmtId="168" fontId="37" fillId="0" borderId="28" xfId="12" applyNumberFormat="1" applyFont="1" applyFill="1" applyBorder="1" applyAlignment="1">
      <alignment horizontal="center" vertical="center"/>
    </xf>
    <xf numFmtId="2" fontId="3" fillId="0" borderId="2" xfId="8" applyNumberFormat="1" applyFont="1" applyFill="1" applyBorder="1" applyAlignment="1">
      <alignment horizontal="center" vertical="top"/>
    </xf>
    <xf numFmtId="164" fontId="11" fillId="0" borderId="8" xfId="8" applyNumberFormat="1" applyFont="1" applyFill="1" applyBorder="1" applyAlignment="1">
      <alignment horizontal="center" vertical="top"/>
    </xf>
    <xf numFmtId="2" fontId="9" fillId="0" borderId="2" xfId="5" applyNumberFormat="1" applyFont="1" applyFill="1" applyBorder="1" applyAlignment="1">
      <alignment horizontal="center" wrapText="1"/>
    </xf>
    <xf numFmtId="165" fontId="4" fillId="0" borderId="0" xfId="18" applyNumberFormat="1" applyFont="1" applyFill="1" applyAlignment="1">
      <alignment vertical="top"/>
    </xf>
    <xf numFmtId="49" fontId="5" fillId="0" borderId="2" xfId="18" applyNumberFormat="1" applyFont="1" applyFill="1" applyBorder="1" applyAlignment="1">
      <alignment horizontal="center" vertical="top"/>
    </xf>
    <xf numFmtId="1" fontId="11" fillId="0" borderId="2" xfId="18" applyNumberFormat="1" applyFont="1" applyFill="1" applyBorder="1" applyAlignment="1">
      <alignment horizontal="center" vertical="top" wrapText="1"/>
    </xf>
    <xf numFmtId="1" fontId="57" fillId="0" borderId="2" xfId="5" applyNumberFormat="1" applyFont="1" applyFill="1" applyBorder="1" applyAlignment="1">
      <alignment horizontal="center" vertical="top"/>
    </xf>
    <xf numFmtId="166" fontId="56" fillId="0" borderId="2" xfId="7" applyNumberFormat="1" applyFont="1" applyFill="1" applyBorder="1" applyAlignment="1">
      <alignment horizontal="center" vertical="top"/>
    </xf>
    <xf numFmtId="0" fontId="42" fillId="0" borderId="2" xfId="10" applyFont="1" applyFill="1" applyBorder="1" applyAlignment="1">
      <alignment horizontal="center" vertical="top" wrapText="1"/>
    </xf>
    <xf numFmtId="0" fontId="52" fillId="0" borderId="7" xfId="5" applyNumberFormat="1" applyFont="1" applyFill="1" applyBorder="1" applyAlignment="1">
      <alignment horizontal="center" vertical="center"/>
    </xf>
    <xf numFmtId="0" fontId="52" fillId="0" borderId="2" xfId="5" applyNumberFormat="1" applyFont="1" applyFill="1" applyBorder="1" applyAlignment="1">
      <alignment horizontal="center" vertical="center"/>
    </xf>
    <xf numFmtId="0" fontId="3" fillId="0" borderId="0" xfId="22" applyFill="1" applyBorder="1" applyAlignment="1">
      <alignment wrapText="1"/>
    </xf>
    <xf numFmtId="0" fontId="52" fillId="0" borderId="0" xfId="5" applyNumberFormat="1" applyFont="1" applyFill="1" applyBorder="1" applyAlignment="1">
      <alignment horizontal="center" vertical="center"/>
    </xf>
    <xf numFmtId="0" fontId="53" fillId="0" borderId="0" xfId="5" applyNumberFormat="1" applyFont="1" applyFill="1" applyBorder="1" applyAlignment="1">
      <alignment horizontal="center" vertical="center"/>
    </xf>
    <xf numFmtId="2" fontId="54" fillId="0" borderId="0" xfId="5" applyNumberFormat="1" applyFont="1" applyFill="1" applyBorder="1" applyAlignment="1">
      <alignment horizontal="center" vertical="top"/>
    </xf>
    <xf numFmtId="2" fontId="19" fillId="0" borderId="0" xfId="5" applyNumberFormat="1" applyFont="1" applyFill="1" applyBorder="1" applyAlignment="1">
      <alignment horizontal="center" vertical="top"/>
    </xf>
    <xf numFmtId="0" fontId="3" fillId="0" borderId="0" xfId="22" applyFill="1" applyBorder="1"/>
    <xf numFmtId="49" fontId="13" fillId="0" borderId="2" xfId="9" applyNumberFormat="1" applyFont="1" applyFill="1" applyBorder="1" applyAlignment="1">
      <alignment horizontal="center" vertical="top" wrapText="1"/>
    </xf>
    <xf numFmtId="2" fontId="3" fillId="2" borderId="2" xfId="9" applyNumberFormat="1" applyFont="1" applyFill="1" applyBorder="1" applyAlignment="1">
      <alignment horizontal="center" vertical="top"/>
    </xf>
    <xf numFmtId="2" fontId="3" fillId="0" borderId="2" xfId="9" applyNumberFormat="1" applyFont="1" applyFill="1" applyBorder="1" applyAlignment="1">
      <alignment horizontal="center" vertical="top"/>
    </xf>
    <xf numFmtId="0" fontId="11" fillId="0" borderId="7" xfId="9" applyNumberFormat="1" applyFont="1" applyFill="1" applyBorder="1" applyAlignment="1">
      <alignment horizontal="center" vertical="top"/>
    </xf>
    <xf numFmtId="49" fontId="17" fillId="0" borderId="2" xfId="9" applyNumberFormat="1" applyFont="1" applyFill="1" applyBorder="1" applyAlignment="1">
      <alignment horizontal="center" vertical="top" wrapText="1"/>
    </xf>
    <xf numFmtId="2" fontId="3" fillId="0" borderId="2" xfId="9" applyNumberFormat="1" applyFont="1" applyFill="1" applyBorder="1" applyAlignment="1">
      <alignment horizontal="left" vertical="top" wrapText="1"/>
    </xf>
    <xf numFmtId="0" fontId="11" fillId="0" borderId="2" xfId="9" applyNumberFormat="1" applyFont="1" applyFill="1" applyBorder="1" applyAlignment="1">
      <alignment horizontal="center" vertical="top"/>
    </xf>
    <xf numFmtId="0" fontId="3" fillId="0" borderId="2" xfId="9" applyFont="1" applyFill="1" applyBorder="1" applyAlignment="1">
      <alignment horizontal="center" vertical="top"/>
    </xf>
    <xf numFmtId="164" fontId="3" fillId="0" borderId="2" xfId="9" applyNumberFormat="1" applyFont="1" applyFill="1" applyBorder="1" applyAlignment="1">
      <alignment horizontal="center" vertical="top"/>
    </xf>
    <xf numFmtId="165" fontId="3" fillId="2" borderId="2" xfId="9" applyNumberFormat="1" applyFont="1" applyFill="1" applyBorder="1" applyAlignment="1">
      <alignment horizontal="center" vertical="top"/>
    </xf>
    <xf numFmtId="164" fontId="11" fillId="0" borderId="8" xfId="9" applyNumberFormat="1" applyFont="1" applyFill="1" applyBorder="1" applyAlignment="1">
      <alignment horizontal="center" vertical="top"/>
    </xf>
    <xf numFmtId="0" fontId="3" fillId="0" borderId="0" xfId="9" applyFont="1" applyFill="1" applyBorder="1" applyAlignment="1">
      <alignment vertical="center"/>
    </xf>
    <xf numFmtId="2" fontId="3" fillId="0" borderId="0" xfId="9" applyNumberFormat="1" applyFont="1" applyFill="1" applyBorder="1" applyAlignment="1">
      <alignment horizontal="center"/>
    </xf>
    <xf numFmtId="0" fontId="11" fillId="0" borderId="2" xfId="9" applyFont="1" applyFill="1" applyBorder="1" applyAlignment="1">
      <alignment horizontal="center" vertical="top"/>
    </xf>
    <xf numFmtId="0" fontId="11" fillId="0" borderId="2" xfId="9" applyNumberFormat="1" applyFont="1" applyFill="1" applyBorder="1" applyAlignment="1" applyProtection="1">
      <alignment horizontal="center" vertical="center"/>
      <protection locked="0"/>
    </xf>
    <xf numFmtId="0" fontId="3" fillId="0" borderId="2" xfId="9" applyFont="1" applyFill="1" applyBorder="1" applyAlignment="1" applyProtection="1">
      <alignment horizontal="center" vertical="center"/>
      <protection locked="0"/>
    </xf>
    <xf numFmtId="164" fontId="3" fillId="0" borderId="2" xfId="9" applyNumberFormat="1" applyFont="1" applyFill="1" applyBorder="1" applyAlignment="1" applyProtection="1">
      <alignment horizontal="center" vertical="center"/>
      <protection locked="0"/>
    </xf>
    <xf numFmtId="2" fontId="3" fillId="0" borderId="2" xfId="9" applyNumberFormat="1" applyFont="1" applyFill="1" applyBorder="1" applyAlignment="1" applyProtection="1">
      <alignment horizontal="center" vertical="center"/>
      <protection locked="0"/>
    </xf>
    <xf numFmtId="164" fontId="3" fillId="0" borderId="2" xfId="9" applyNumberFormat="1" applyFont="1" applyFill="1" applyBorder="1" applyAlignment="1">
      <alignment horizontal="center" vertical="center"/>
    </xf>
    <xf numFmtId="2" fontId="3" fillId="0" borderId="2" xfId="9" applyNumberFormat="1" applyFont="1" applyFill="1" applyBorder="1" applyAlignment="1">
      <alignment horizontal="center" vertical="center"/>
    </xf>
    <xf numFmtId="2" fontId="11" fillId="0" borderId="8" xfId="9" applyNumberFormat="1" applyFont="1" applyFill="1" applyBorder="1" applyAlignment="1">
      <alignment horizontal="center" vertical="center"/>
    </xf>
    <xf numFmtId="164" fontId="3" fillId="2" borderId="2" xfId="9" applyNumberFormat="1" applyFont="1" applyFill="1" applyBorder="1" applyAlignment="1">
      <alignment horizontal="center" vertical="top"/>
    </xf>
    <xf numFmtId="0" fontId="11" fillId="0" borderId="2" xfId="9" applyNumberFormat="1" applyFont="1" applyFill="1" applyBorder="1" applyAlignment="1">
      <alignment horizontal="center" vertical="center"/>
    </xf>
    <xf numFmtId="0" fontId="3" fillId="0" borderId="2" xfId="9" applyFont="1" applyFill="1" applyBorder="1" applyAlignment="1">
      <alignment horizontal="center" vertical="center"/>
    </xf>
    <xf numFmtId="0" fontId="11" fillId="0" borderId="7" xfId="9" applyNumberFormat="1" applyFont="1" applyFill="1" applyBorder="1" applyAlignment="1">
      <alignment horizontal="center" vertical="center"/>
    </xf>
    <xf numFmtId="0" fontId="11" fillId="0" borderId="2" xfId="9" applyNumberFormat="1" applyFont="1" applyFill="1" applyBorder="1" applyAlignment="1" applyProtection="1">
      <alignment horizontal="center" vertical="top"/>
      <protection locked="0"/>
    </xf>
    <xf numFmtId="0" fontId="3" fillId="0" borderId="2" xfId="9" applyFont="1" applyFill="1" applyBorder="1" applyAlignment="1" applyProtection="1">
      <alignment horizontal="center" vertical="top"/>
      <protection locked="0"/>
    </xf>
    <xf numFmtId="2" fontId="3" fillId="0" borderId="0" xfId="9" applyNumberFormat="1" applyFont="1" applyFill="1" applyBorder="1"/>
    <xf numFmtId="2" fontId="3" fillId="0" borderId="0" xfId="6" applyNumberFormat="1" applyFont="1" applyFill="1" applyBorder="1" applyAlignment="1">
      <alignment horizontal="center"/>
    </xf>
    <xf numFmtId="2" fontId="3" fillId="0" borderId="0" xfId="6" applyNumberFormat="1" applyFont="1" applyFill="1" applyBorder="1"/>
    <xf numFmtId="49" fontId="13" fillId="0" borderId="2" xfId="6" applyNumberFormat="1" applyFont="1" applyFill="1" applyBorder="1" applyAlignment="1">
      <alignment horizontal="center" vertical="top" wrapText="1"/>
    </xf>
    <xf numFmtId="2" fontId="3" fillId="0" borderId="2" xfId="6" applyNumberFormat="1" applyFont="1" applyFill="1" applyBorder="1" applyAlignment="1">
      <alignment horizontal="left" vertical="top" wrapText="1"/>
    </xf>
    <xf numFmtId="2" fontId="3" fillId="0" borderId="2" xfId="6" applyNumberFormat="1" applyFont="1" applyFill="1" applyBorder="1" applyAlignment="1">
      <alignment horizontal="center" vertical="top"/>
    </xf>
    <xf numFmtId="164" fontId="11" fillId="0" borderId="8" xfId="6" applyNumberFormat="1" applyFont="1" applyFill="1" applyBorder="1" applyAlignment="1">
      <alignment horizontal="center" vertical="top"/>
    </xf>
    <xf numFmtId="0" fontId="4" fillId="0" borderId="51" xfId="12" applyFont="1" applyFill="1" applyBorder="1" applyAlignment="1">
      <alignment horizontal="center" vertical="center" wrapText="1"/>
    </xf>
    <xf numFmtId="0" fontId="4" fillId="0" borderId="52" xfId="12" applyFont="1" applyFill="1" applyBorder="1" applyAlignment="1">
      <alignment horizontal="center" vertical="center" wrapText="1"/>
    </xf>
    <xf numFmtId="0" fontId="4" fillId="0" borderId="53" xfId="12" applyFont="1" applyFill="1" applyBorder="1" applyAlignment="1">
      <alignment horizontal="center" vertical="center" wrapText="1"/>
    </xf>
    <xf numFmtId="2" fontId="4" fillId="0" borderId="0" xfId="18" applyNumberFormat="1" applyFont="1" applyFill="1" applyBorder="1" applyAlignment="1">
      <alignment horizontal="center" wrapText="1"/>
    </xf>
    <xf numFmtId="1" fontId="3" fillId="0" borderId="0" xfId="18" applyNumberFormat="1" applyFont="1" applyFill="1" applyBorder="1" applyAlignment="1">
      <alignment horizontal="right" vertical="top" wrapText="1"/>
    </xf>
    <xf numFmtId="0" fontId="34" fillId="0" borderId="0" xfId="12" applyFont="1" applyFill="1" applyBorder="1" applyAlignment="1">
      <alignment horizontal="center" vertical="center"/>
    </xf>
    <xf numFmtId="0" fontId="3" fillId="0" borderId="54" xfId="12" applyFont="1" applyFill="1" applyBorder="1" applyAlignment="1">
      <alignment horizontal="center" vertical="center"/>
    </xf>
    <xf numFmtId="0" fontId="3" fillId="0" borderId="55" xfId="12" applyFont="1" applyFill="1" applyBorder="1" applyAlignment="1">
      <alignment horizontal="center" vertical="center"/>
    </xf>
    <xf numFmtId="0" fontId="3" fillId="0" borderId="37" xfId="12" applyFont="1" applyFill="1" applyBorder="1" applyAlignment="1">
      <alignment horizontal="center" vertical="center" wrapText="1"/>
    </xf>
    <xf numFmtId="0" fontId="3" fillId="0" borderId="56" xfId="12" applyFont="1" applyFill="1" applyBorder="1" applyAlignment="1">
      <alignment horizontal="center" vertical="center" wrapText="1"/>
    </xf>
    <xf numFmtId="0" fontId="3" fillId="0" borderId="37" xfId="12" applyFont="1" applyFill="1" applyBorder="1" applyAlignment="1">
      <alignment horizontal="center" vertical="center"/>
    </xf>
    <xf numFmtId="0" fontId="3" fillId="0" borderId="56" xfId="12" applyFont="1" applyFill="1" applyBorder="1" applyAlignment="1">
      <alignment horizontal="center" vertical="center"/>
    </xf>
    <xf numFmtId="3" fontId="3" fillId="0" borderId="57" xfId="12" applyNumberFormat="1" applyFont="1" applyFill="1" applyBorder="1" applyAlignment="1">
      <alignment horizontal="center" vertical="center"/>
    </xf>
    <xf numFmtId="3" fontId="3" fillId="0" borderId="47" xfId="12" applyNumberFormat="1" applyFont="1" applyFill="1" applyBorder="1" applyAlignment="1">
      <alignment horizontal="center" vertical="center"/>
    </xf>
    <xf numFmtId="3" fontId="3" fillId="0" borderId="19" xfId="12" applyNumberFormat="1" applyFont="1" applyFill="1" applyBorder="1" applyAlignment="1">
      <alignment horizontal="center" vertical="center"/>
    </xf>
    <xf numFmtId="2" fontId="17" fillId="0" borderId="60" xfId="18" applyNumberFormat="1" applyFont="1" applyFill="1" applyBorder="1" applyAlignment="1">
      <alignment horizontal="center" vertical="center" wrapText="1"/>
    </xf>
    <xf numFmtId="2" fontId="17" fillId="0" borderId="61" xfId="18" applyNumberFormat="1" applyFont="1" applyFill="1" applyBorder="1" applyAlignment="1">
      <alignment horizontal="center" vertical="center" wrapText="1"/>
    </xf>
    <xf numFmtId="2" fontId="17" fillId="0" borderId="62" xfId="18" applyNumberFormat="1" applyFont="1" applyFill="1" applyBorder="1" applyAlignment="1">
      <alignment horizontal="center" vertical="center" wrapText="1"/>
    </xf>
    <xf numFmtId="0" fontId="7" fillId="0" borderId="3" xfId="18" applyNumberFormat="1" applyFont="1" applyFill="1" applyBorder="1" applyAlignment="1">
      <alignment horizontal="center" vertical="center" wrapText="1"/>
    </xf>
    <xf numFmtId="0" fontId="7" fillId="0" borderId="56" xfId="18" applyNumberFormat="1" applyFont="1" applyFill="1" applyBorder="1" applyAlignment="1">
      <alignment horizontal="center" vertical="center" wrapText="1"/>
    </xf>
    <xf numFmtId="164" fontId="7" fillId="0" borderId="3" xfId="18" applyNumberFormat="1" applyFont="1" applyFill="1" applyBorder="1" applyAlignment="1">
      <alignment horizontal="center" vertical="center" wrapText="1"/>
    </xf>
    <xf numFmtId="164" fontId="7" fillId="0" borderId="56" xfId="18" applyNumberFormat="1" applyFont="1" applyFill="1" applyBorder="1" applyAlignment="1">
      <alignment horizontal="center" vertical="center" wrapText="1"/>
    </xf>
    <xf numFmtId="0" fontId="7" fillId="0" borderId="58" xfId="18" applyNumberFormat="1" applyFont="1" applyFill="1" applyBorder="1" applyAlignment="1">
      <alignment horizontal="center" vertical="center" wrapText="1"/>
    </xf>
    <xf numFmtId="0" fontId="7" fillId="0" borderId="59" xfId="18" applyNumberFormat="1" applyFont="1" applyFill="1" applyBorder="1" applyAlignment="1">
      <alignment horizontal="center" vertical="center" wrapText="1"/>
    </xf>
    <xf numFmtId="0" fontId="7" fillId="0" borderId="54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55" xfId="4" applyFont="1" applyFill="1" applyBorder="1" applyAlignment="1">
      <alignment horizontal="center" vertical="center" wrapText="1"/>
    </xf>
    <xf numFmtId="0" fontId="7" fillId="0" borderId="37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6" xfId="4" applyFont="1" applyFill="1" applyBorder="1" applyAlignment="1">
      <alignment horizontal="center" vertical="center" wrapText="1"/>
    </xf>
    <xf numFmtId="2" fontId="3" fillId="0" borderId="37" xfId="18" applyNumberFormat="1" applyFont="1" applyFill="1" applyBorder="1" applyAlignment="1">
      <alignment horizontal="center" vertical="center" wrapText="1"/>
    </xf>
    <xf numFmtId="2" fontId="3" fillId="0" borderId="2" xfId="18" applyNumberFormat="1" applyFont="1" applyFill="1" applyBorder="1" applyAlignment="1">
      <alignment horizontal="center" vertical="center" wrapText="1"/>
    </xf>
    <xf numFmtId="2" fontId="3" fillId="0" borderId="56" xfId="18" applyNumberFormat="1" applyFont="1" applyFill="1" applyBorder="1" applyAlignment="1">
      <alignment horizontal="center" vertical="center" wrapText="1"/>
    </xf>
  </cellXfs>
  <cellStyles count="38">
    <cellStyle name="Excel Built-in Normal" xfId="1"/>
    <cellStyle name="Followed Hyperlink" xfId="2"/>
    <cellStyle name="Hyperlink" xfId="3"/>
    <cellStyle name="Normal_1" xfId="4"/>
    <cellStyle name="Normal_B 1-2.1" xfId="5"/>
    <cellStyle name="Normal_B 1-2.1 2" xfId="6"/>
    <cellStyle name="Normal_B 1-2.1 2 2" xfId="7"/>
    <cellStyle name="Normal_B 1-2.1 2 2 2" xfId="8"/>
    <cellStyle name="Normal_B 1-2.1 2 3" xfId="9"/>
    <cellStyle name="Normal_el1-8 2" xfId="10"/>
    <cellStyle name="Normal_est_40" xfId="11"/>
    <cellStyle name="Normal_Tallin(exp.) 2" xfId="12"/>
    <cellStyle name="Обычный" xfId="0" builtinId="0"/>
    <cellStyle name="Обычный 2" xfId="13"/>
    <cellStyle name="Обычный 2 2" xfId="14"/>
    <cellStyle name="Обычный 3" xfId="15"/>
    <cellStyle name="Обычный 4" xfId="16"/>
    <cellStyle name="Обычный_SHANS SEB pajmanagir 2" xfId="17"/>
    <cellStyle name="Обычный_Tallin(exp.)" xfId="18"/>
    <cellStyle name="Обычный_Tallin(exp.) 2 2" xfId="19"/>
    <cellStyle name="Обычный_Yerevan24-1 2" xfId="20"/>
    <cellStyle name="Обычный_Yerevan24-1 3 2" xfId="21"/>
    <cellStyle name="Обычный_Лист в SHANS SEB II Pul  Hardarum" xfId="22"/>
    <cellStyle name="Обычный_Лист в SHANS SEB II Pul  Hardarum 2" xfId="23"/>
    <cellStyle name="Процентный 2" xfId="24"/>
    <cellStyle name="Процентный 2 2" xfId="25"/>
    <cellStyle name="Процентный 2 2 2" xfId="26"/>
    <cellStyle name="Процентный 2 3" xfId="27"/>
    <cellStyle name="Процентный 2 3 2" xfId="28"/>
    <cellStyle name="Процентный 2 3 2 2" xfId="29"/>
    <cellStyle name="Процентный 2 3 3" xfId="30"/>
    <cellStyle name="Процентный 3" xfId="31"/>
    <cellStyle name="Процентный 4" xfId="32"/>
    <cellStyle name="Процентный 5" xfId="33"/>
    <cellStyle name="Процентный 6" xfId="34"/>
    <cellStyle name="Финансовый 2" xfId="35"/>
    <cellStyle name="Финансовый 3" xfId="36"/>
    <cellStyle name="Финансовый 3 2" xfId="3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75"/>
  <sheetViews>
    <sheetView view="pageBreakPreview" topLeftCell="A31" zoomScale="90" zoomScaleNormal="85" zoomScaleSheetLayoutView="90" workbookViewId="0">
      <selection activeCell="E52" sqref="E52"/>
    </sheetView>
  </sheetViews>
  <sheetFormatPr defaultRowHeight="12.75"/>
  <cols>
    <col min="1" max="1" width="5" style="104" customWidth="1"/>
    <col min="2" max="2" width="9.85546875" style="104" customWidth="1"/>
    <col min="3" max="3" width="8.7109375" style="104" customWidth="1"/>
    <col min="4" max="4" width="46.42578125" style="104" customWidth="1"/>
    <col min="5" max="5" width="21.28515625" style="105" customWidth="1"/>
    <col min="6" max="6" width="11.7109375" style="104" customWidth="1"/>
    <col min="7" max="7" width="19.28515625" style="104" customWidth="1"/>
    <col min="8" max="8" width="18.85546875" style="104" customWidth="1"/>
    <col min="9" max="9" width="20.85546875" style="104" customWidth="1"/>
    <col min="10" max="10" width="0.85546875" style="104" customWidth="1"/>
    <col min="11" max="11" width="4.7109375" style="104" customWidth="1"/>
    <col min="12" max="12" width="13.5703125" style="104" customWidth="1"/>
    <col min="13" max="13" width="5.7109375" style="104" customWidth="1"/>
    <col min="14" max="14" width="11.42578125" style="104" bestFit="1" customWidth="1"/>
    <col min="15" max="15" width="9.140625" style="104"/>
    <col min="16" max="17" width="11.85546875" style="104" customWidth="1"/>
    <col min="18" max="18" width="10.7109375" style="104" bestFit="1" customWidth="1"/>
    <col min="19" max="19" width="15.42578125" style="104" customWidth="1"/>
    <col min="20" max="16384" width="9.140625" style="104"/>
  </cols>
  <sheetData>
    <row r="1" spans="1:35" ht="28.5" customHeight="1"/>
    <row r="2" spans="1:35" ht="48.75" customHeight="1"/>
    <row r="3" spans="1:35" s="117" customFormat="1" ht="15" customHeight="1">
      <c r="A3" s="106" t="s">
        <v>36</v>
      </c>
      <c r="B3" s="107"/>
      <c r="C3" s="108" t="s">
        <v>70</v>
      </c>
      <c r="D3" s="107"/>
      <c r="E3" s="107"/>
      <c r="F3" s="107"/>
      <c r="G3" s="109"/>
      <c r="H3" s="109"/>
      <c r="I3" s="109"/>
      <c r="J3" s="109"/>
      <c r="K3" s="107"/>
      <c r="L3" s="107"/>
      <c r="M3" s="110"/>
      <c r="N3" s="110"/>
      <c r="O3" s="111"/>
      <c r="P3" s="112"/>
      <c r="Q3" s="113"/>
      <c r="R3" s="114">
        <f>1.05*1.05*1.02</f>
        <v>1.1245500000000002</v>
      </c>
      <c r="S3" s="114">
        <v>0.85</v>
      </c>
      <c r="T3" s="114">
        <f>1.31*1.1</f>
        <v>1.4410000000000003</v>
      </c>
      <c r="U3" s="112"/>
      <c r="V3" s="112"/>
      <c r="W3" s="115"/>
      <c r="X3" s="116"/>
      <c r="Y3" s="116"/>
      <c r="Z3" s="116"/>
      <c r="AB3" s="112"/>
      <c r="AC3" s="112"/>
      <c r="AD3" s="112"/>
      <c r="AE3" s="112"/>
      <c r="AF3" s="112"/>
      <c r="AG3" s="112"/>
      <c r="AH3" s="112"/>
      <c r="AI3" s="112"/>
    </row>
    <row r="4" spans="1:35" s="117" customFormat="1" ht="25.5" customHeight="1">
      <c r="A4" s="106" t="s">
        <v>78</v>
      </c>
      <c r="B4" s="107"/>
      <c r="C4" s="118"/>
      <c r="D4" s="119"/>
      <c r="E4" s="119"/>
      <c r="F4" s="119"/>
      <c r="G4" s="119"/>
      <c r="H4" s="119"/>
      <c r="I4" s="119"/>
      <c r="J4" s="119"/>
      <c r="K4" s="107"/>
      <c r="L4" s="107"/>
      <c r="M4" s="110"/>
      <c r="N4" s="110"/>
      <c r="O4" s="111"/>
      <c r="P4" s="112"/>
      <c r="Q4" s="112"/>
      <c r="R4" s="112"/>
      <c r="S4" s="112"/>
      <c r="T4" s="112"/>
    </row>
    <row r="6" spans="1:35" s="117" customFormat="1" ht="21.75" customHeight="1">
      <c r="A6" s="233" t="s">
        <v>37</v>
      </c>
      <c r="B6" s="107"/>
      <c r="C6" s="107"/>
      <c r="D6" s="107"/>
      <c r="E6" s="1" t="s">
        <v>117</v>
      </c>
      <c r="F6" s="107"/>
      <c r="G6" s="107"/>
      <c r="H6" s="107"/>
      <c r="I6" s="107"/>
      <c r="J6" s="107"/>
      <c r="K6" s="107"/>
      <c r="L6" s="107"/>
      <c r="M6" s="110"/>
      <c r="N6" s="110"/>
      <c r="O6" s="111"/>
      <c r="P6" s="112"/>
      <c r="Q6" s="113"/>
      <c r="R6" s="120"/>
      <c r="S6" s="120"/>
      <c r="T6" s="120"/>
      <c r="U6" s="112"/>
      <c r="V6" s="112"/>
      <c r="W6" s="121"/>
      <c r="X6" s="122"/>
      <c r="Y6" s="122"/>
      <c r="Z6" s="122"/>
      <c r="AB6" s="112"/>
      <c r="AC6" s="112"/>
      <c r="AD6" s="112"/>
      <c r="AE6" s="112"/>
      <c r="AF6" s="112"/>
      <c r="AG6" s="112"/>
      <c r="AH6" s="112"/>
      <c r="AI6" s="112"/>
    </row>
    <row r="7" spans="1:35" s="117" customFormat="1" ht="21.75" customHeight="1">
      <c r="A7" s="123"/>
      <c r="B7" s="107"/>
      <c r="C7" s="107"/>
      <c r="D7" s="107"/>
      <c r="E7" s="1" t="s">
        <v>79</v>
      </c>
      <c r="F7" s="107"/>
      <c r="G7" s="107"/>
      <c r="H7" s="107"/>
      <c r="I7" s="107"/>
      <c r="J7" s="107"/>
      <c r="K7" s="107"/>
      <c r="L7" s="107"/>
      <c r="M7" s="110"/>
      <c r="N7" s="110"/>
      <c r="O7" s="111"/>
      <c r="P7" s="112"/>
      <c r="Q7" s="113"/>
      <c r="R7" s="120"/>
      <c r="S7" s="120"/>
      <c r="T7" s="120"/>
      <c r="U7" s="112"/>
      <c r="V7" s="112"/>
      <c r="W7" s="121"/>
      <c r="X7" s="122"/>
      <c r="Y7" s="122"/>
      <c r="Z7" s="122"/>
      <c r="AB7" s="112"/>
      <c r="AC7" s="112"/>
      <c r="AD7" s="112"/>
      <c r="AE7" s="112"/>
      <c r="AF7" s="112"/>
      <c r="AG7" s="112"/>
      <c r="AH7" s="112"/>
      <c r="AI7" s="112"/>
    </row>
    <row r="8" spans="1:35" s="117" customFormat="1" ht="18.75" customHeight="1">
      <c r="A8" s="123"/>
      <c r="B8" s="107"/>
      <c r="C8" s="107"/>
      <c r="D8" s="107"/>
      <c r="E8" s="124" t="s">
        <v>118</v>
      </c>
      <c r="F8" s="107"/>
      <c r="G8" s="107"/>
      <c r="H8" s="107"/>
      <c r="I8" s="107"/>
      <c r="J8" s="107"/>
      <c r="K8" s="107"/>
      <c r="L8" s="107"/>
      <c r="M8" s="110"/>
      <c r="N8" s="110"/>
      <c r="O8" s="111"/>
      <c r="P8" s="112"/>
      <c r="Q8" s="113"/>
      <c r="R8" s="120"/>
      <c r="S8" s="120"/>
      <c r="T8" s="120"/>
      <c r="U8" s="112"/>
      <c r="V8" s="112"/>
      <c r="W8" s="121"/>
      <c r="X8" s="122"/>
      <c r="Y8" s="122"/>
      <c r="Z8" s="122"/>
      <c r="AB8" s="112"/>
      <c r="AC8" s="112"/>
      <c r="AD8" s="112"/>
      <c r="AE8" s="112"/>
      <c r="AF8" s="112"/>
      <c r="AG8" s="112"/>
      <c r="AH8" s="112"/>
      <c r="AI8" s="112"/>
    </row>
    <row r="9" spans="1:35" s="117" customFormat="1" ht="20.25" customHeight="1">
      <c r="A9" s="123"/>
      <c r="B9" s="107"/>
      <c r="C9" s="107"/>
      <c r="D9" s="107"/>
      <c r="E9" s="124"/>
      <c r="F9" s="107"/>
      <c r="G9" s="107"/>
      <c r="H9" s="107"/>
      <c r="I9" s="107"/>
      <c r="J9" s="107"/>
      <c r="K9" s="107"/>
      <c r="L9" s="107"/>
      <c r="M9" s="110"/>
      <c r="N9" s="110"/>
      <c r="O9" s="111"/>
      <c r="P9" s="112"/>
      <c r="Q9" s="113"/>
      <c r="R9" s="120"/>
      <c r="S9" s="120"/>
      <c r="T9" s="120"/>
      <c r="U9" s="112"/>
      <c r="V9" s="112"/>
      <c r="W9" s="121"/>
      <c r="X9" s="122"/>
      <c r="Y9" s="122"/>
      <c r="Z9" s="122"/>
      <c r="AB9" s="112"/>
      <c r="AC9" s="112"/>
      <c r="AD9" s="112"/>
      <c r="AE9" s="112"/>
      <c r="AF9" s="112"/>
      <c r="AG9" s="112"/>
      <c r="AH9" s="112"/>
      <c r="AI9" s="112"/>
    </row>
    <row r="10" spans="1:35" s="125" customFormat="1" ht="23.25" customHeight="1">
      <c r="D10" s="413" t="s">
        <v>38</v>
      </c>
      <c r="E10" s="413"/>
      <c r="F10" s="413"/>
      <c r="G10" s="413"/>
      <c r="H10" s="126"/>
      <c r="I10" s="126"/>
    </row>
    <row r="11" spans="1:35" s="125" customFormat="1" ht="4.5" customHeight="1">
      <c r="D11" s="127"/>
      <c r="E11" s="127"/>
      <c r="F11" s="127"/>
      <c r="G11" s="127"/>
      <c r="H11" s="127"/>
      <c r="I11" s="127"/>
    </row>
    <row r="12" spans="1:35" ht="50.25" customHeight="1" thickBot="1"/>
    <row r="13" spans="1:35" s="125" customFormat="1" ht="17.25" customHeight="1">
      <c r="A13" s="414" t="s">
        <v>39</v>
      </c>
      <c r="B13" s="416" t="s">
        <v>40</v>
      </c>
      <c r="C13" s="416" t="s">
        <v>41</v>
      </c>
      <c r="D13" s="418" t="s">
        <v>42</v>
      </c>
      <c r="E13" s="420" t="s">
        <v>43</v>
      </c>
      <c r="F13" s="421"/>
      <c r="G13" s="421"/>
      <c r="H13" s="421"/>
      <c r="I13" s="422"/>
      <c r="K13" s="128" t="s">
        <v>44</v>
      </c>
      <c r="L13" s="301">
        <v>495</v>
      </c>
      <c r="M13" s="129" t="s">
        <v>45</v>
      </c>
    </row>
    <row r="14" spans="1:35" s="125" customFormat="1" ht="33.75" customHeight="1" thickBot="1">
      <c r="A14" s="415"/>
      <c r="B14" s="417"/>
      <c r="C14" s="417"/>
      <c r="D14" s="419"/>
      <c r="E14" s="130" t="s">
        <v>46</v>
      </c>
      <c r="F14" s="130" t="s">
        <v>47</v>
      </c>
      <c r="G14" s="130" t="s">
        <v>48</v>
      </c>
      <c r="H14" s="130" t="s">
        <v>49</v>
      </c>
      <c r="I14" s="131" t="s">
        <v>50</v>
      </c>
      <c r="K14" s="408" t="s">
        <v>51</v>
      </c>
      <c r="L14" s="409"/>
      <c r="M14" s="410"/>
    </row>
    <row r="15" spans="1:35" s="125" customFormat="1" ht="13.5" thickBot="1">
      <c r="A15" s="132">
        <v>1</v>
      </c>
      <c r="B15" s="133">
        <v>2</v>
      </c>
      <c r="C15" s="133"/>
      <c r="D15" s="133">
        <v>3</v>
      </c>
      <c r="E15" s="134">
        <v>4</v>
      </c>
      <c r="F15" s="132">
        <v>5</v>
      </c>
      <c r="G15" s="132">
        <v>6</v>
      </c>
      <c r="H15" s="132">
        <v>7</v>
      </c>
      <c r="I15" s="135">
        <v>8</v>
      </c>
      <c r="J15" s="136"/>
      <c r="K15" s="137">
        <v>9</v>
      </c>
      <c r="L15" s="138"/>
      <c r="M15" s="139"/>
    </row>
    <row r="16" spans="1:35" s="125" customFormat="1" ht="4.5" customHeight="1" thickBot="1">
      <c r="A16" s="140"/>
      <c r="B16" s="141"/>
      <c r="C16" s="142"/>
      <c r="D16" s="142"/>
      <c r="E16" s="143"/>
      <c r="F16" s="141"/>
      <c r="G16" s="141"/>
      <c r="H16" s="141"/>
      <c r="I16" s="144"/>
      <c r="J16" s="136"/>
      <c r="K16" s="145"/>
      <c r="L16" s="145"/>
      <c r="M16" s="145"/>
    </row>
    <row r="17" spans="1:17" s="125" customFormat="1" ht="4.5" customHeight="1">
      <c r="A17" s="146"/>
      <c r="B17" s="147"/>
      <c r="C17" s="148"/>
      <c r="D17" s="149"/>
      <c r="E17" s="150"/>
      <c r="F17" s="151"/>
      <c r="G17" s="152"/>
      <c r="H17" s="152"/>
      <c r="I17" s="153"/>
      <c r="K17" s="154"/>
      <c r="L17" s="155"/>
      <c r="M17" s="156"/>
      <c r="P17" s="157"/>
    </row>
    <row r="18" spans="1:17" s="125" customFormat="1" ht="41.25" customHeight="1">
      <c r="A18" s="158">
        <v>1</v>
      </c>
      <c r="B18" s="159"/>
      <c r="C18" s="160"/>
      <c r="D18" s="161" t="s">
        <v>52</v>
      </c>
      <c r="E18" s="162"/>
      <c r="F18" s="162"/>
      <c r="G18" s="162"/>
      <c r="H18" s="163"/>
      <c r="I18" s="164"/>
      <c r="K18" s="154"/>
      <c r="L18" s="155"/>
      <c r="M18" s="156"/>
      <c r="P18" s="157" t="s">
        <v>34</v>
      </c>
    </row>
    <row r="19" spans="1:17" s="125" customFormat="1" ht="48.75" customHeight="1">
      <c r="A19" s="165"/>
      <c r="B19" s="166" t="s">
        <v>53</v>
      </c>
      <c r="C19" s="166" t="s">
        <v>175</v>
      </c>
      <c r="D19" s="167" t="s">
        <v>119</v>
      </c>
      <c r="E19" s="162">
        <f>+Smeta!O149</f>
        <v>6381.3526783530615</v>
      </c>
      <c r="F19" s="162"/>
      <c r="G19" s="162"/>
      <c r="H19" s="163"/>
      <c r="I19" s="164">
        <f>+G19+F19+E19</f>
        <v>6381.3526783530615</v>
      </c>
      <c r="K19" s="154"/>
      <c r="L19" s="168"/>
      <c r="M19" s="156"/>
      <c r="N19" s="169"/>
      <c r="O19" s="170"/>
      <c r="P19" s="157"/>
    </row>
    <row r="20" spans="1:17" s="125" customFormat="1" ht="18" customHeight="1">
      <c r="A20" s="165"/>
      <c r="B20" s="159"/>
      <c r="C20" s="160"/>
      <c r="D20" s="171" t="s">
        <v>0</v>
      </c>
      <c r="E20" s="172">
        <f>+E19</f>
        <v>6381.3526783530615</v>
      </c>
      <c r="F20" s="172"/>
      <c r="G20" s="172"/>
      <c r="H20" s="172"/>
      <c r="I20" s="173">
        <f>SUM(I19:I19)</f>
        <v>6381.3526783530615</v>
      </c>
      <c r="K20" s="154"/>
      <c r="L20" s="155"/>
      <c r="M20" s="156"/>
      <c r="P20" s="157"/>
    </row>
    <row r="21" spans="1:17" s="125" customFormat="1" ht="6" customHeight="1">
      <c r="A21" s="165"/>
      <c r="B21" s="159"/>
      <c r="C21" s="160"/>
      <c r="D21" s="174"/>
      <c r="E21" s="162"/>
      <c r="F21" s="162"/>
      <c r="G21" s="162"/>
      <c r="H21" s="162"/>
      <c r="I21" s="164"/>
      <c r="K21" s="154"/>
      <c r="L21" s="155"/>
      <c r="M21" s="156"/>
      <c r="P21" s="157"/>
    </row>
    <row r="22" spans="1:17" s="125" customFormat="1" ht="41.25" customHeight="1">
      <c r="A22" s="158">
        <v>2</v>
      </c>
      <c r="B22" s="159"/>
      <c r="C22" s="160"/>
      <c r="D22" s="175" t="s">
        <v>54</v>
      </c>
      <c r="E22" s="162"/>
      <c r="F22" s="162"/>
      <c r="G22" s="162"/>
      <c r="H22" s="163"/>
      <c r="I22" s="164"/>
      <c r="K22" s="154"/>
      <c r="L22" s="155"/>
      <c r="M22" s="156"/>
      <c r="P22" s="157"/>
    </row>
    <row r="23" spans="1:17" s="125" customFormat="1" ht="35.25" customHeight="1">
      <c r="A23" s="165"/>
      <c r="B23" s="176" t="s">
        <v>55</v>
      </c>
      <c r="C23" s="176" t="s">
        <v>1</v>
      </c>
      <c r="D23" s="174" t="s">
        <v>116</v>
      </c>
      <c r="E23" s="162">
        <f>+E20*0.008</f>
        <v>51.050821426824491</v>
      </c>
      <c r="F23" s="162"/>
      <c r="G23" s="162"/>
      <c r="H23" s="163"/>
      <c r="I23" s="177">
        <f>+F23+E23</f>
        <v>51.050821426824491</v>
      </c>
      <c r="K23" s="154"/>
      <c r="L23" s="155"/>
      <c r="M23" s="156"/>
      <c r="P23" s="157"/>
    </row>
    <row r="24" spans="1:17" s="125" customFormat="1" ht="35.25" customHeight="1">
      <c r="A24" s="165"/>
      <c r="B24" s="176" t="s">
        <v>55</v>
      </c>
      <c r="C24" s="311" t="s">
        <v>81</v>
      </c>
      <c r="D24" s="174" t="s">
        <v>115</v>
      </c>
      <c r="E24" s="162">
        <f>+E20*0.0096</f>
        <v>61.260985712189388</v>
      </c>
      <c r="F24" s="162"/>
      <c r="G24" s="162"/>
      <c r="H24" s="163"/>
      <c r="I24" s="177">
        <f>+F24+E24</f>
        <v>61.260985712189388</v>
      </c>
      <c r="K24" s="154"/>
      <c r="L24" s="155"/>
      <c r="M24" s="156"/>
      <c r="P24" s="157"/>
    </row>
    <row r="25" spans="1:17" s="125" customFormat="1" ht="18" customHeight="1">
      <c r="A25" s="178"/>
      <c r="B25" s="159"/>
      <c r="C25" s="160"/>
      <c r="D25" s="171" t="s">
        <v>0</v>
      </c>
      <c r="E25" s="172">
        <f>+E23+E24</f>
        <v>112.31180713901388</v>
      </c>
      <c r="F25" s="172"/>
      <c r="G25" s="172"/>
      <c r="H25" s="172"/>
      <c r="I25" s="172">
        <f>+I23+I24</f>
        <v>112.31180713901388</v>
      </c>
      <c r="K25" s="154"/>
      <c r="L25" s="155"/>
      <c r="M25" s="156"/>
      <c r="P25" s="157"/>
      <c r="Q25" s="157"/>
    </row>
    <row r="26" spans="1:17" s="125" customFormat="1" ht="26.25" customHeight="1">
      <c r="A26" s="179"/>
      <c r="B26" s="159"/>
      <c r="C26" s="160"/>
      <c r="D26" s="180" t="s">
        <v>56</v>
      </c>
      <c r="E26" s="181">
        <f>+E25+E20</f>
        <v>6493.6644854920751</v>
      </c>
      <c r="F26" s="181"/>
      <c r="G26" s="181"/>
      <c r="H26" s="181"/>
      <c r="I26" s="182">
        <f>+I25+I20</f>
        <v>6493.6644854920751</v>
      </c>
      <c r="K26" s="154"/>
      <c r="L26" s="155"/>
      <c r="M26" s="156"/>
      <c r="N26" s="183"/>
      <c r="P26" s="157"/>
      <c r="Q26" s="157"/>
    </row>
    <row r="27" spans="1:17" s="125" customFormat="1" ht="42" customHeight="1">
      <c r="A27" s="184">
        <v>3</v>
      </c>
      <c r="B27" s="159"/>
      <c r="C27" s="185"/>
      <c r="D27" s="161" t="s">
        <v>57</v>
      </c>
      <c r="E27" s="186"/>
      <c r="F27" s="187"/>
      <c r="G27" s="188"/>
      <c r="H27" s="188"/>
      <c r="I27" s="189"/>
      <c r="K27" s="154"/>
      <c r="L27" s="155"/>
      <c r="M27" s="156"/>
      <c r="P27" s="157"/>
    </row>
    <row r="28" spans="1:17" s="125" customFormat="1" ht="31.5" customHeight="1">
      <c r="A28" s="190"/>
      <c r="B28" s="176" t="s">
        <v>55</v>
      </c>
      <c r="C28" s="176" t="s">
        <v>58</v>
      </c>
      <c r="D28" s="174" t="s">
        <v>59</v>
      </c>
      <c r="E28" s="186"/>
      <c r="F28" s="162"/>
      <c r="G28" s="176"/>
      <c r="H28" s="162">
        <f>+I26*0.006</f>
        <v>38.961986912952455</v>
      </c>
      <c r="I28" s="177">
        <f>+H28</f>
        <v>38.961986912952455</v>
      </c>
      <c r="K28" s="154"/>
      <c r="L28" s="155"/>
      <c r="M28" s="156"/>
      <c r="P28" s="157"/>
    </row>
    <row r="29" spans="1:17" s="125" customFormat="1" ht="34.5" customHeight="1">
      <c r="A29" s="190"/>
      <c r="B29" s="176" t="s">
        <v>55</v>
      </c>
      <c r="C29" s="176" t="s">
        <v>58</v>
      </c>
      <c r="D29" s="174" t="s">
        <v>75</v>
      </c>
      <c r="E29" s="186"/>
      <c r="F29" s="162"/>
      <c r="G29" s="191"/>
      <c r="H29" s="162">
        <f>+I26*0.02</f>
        <v>129.87328970984152</v>
      </c>
      <c r="I29" s="177">
        <f>+H29</f>
        <v>129.87328970984152</v>
      </c>
      <c r="K29" s="154"/>
      <c r="L29" s="155"/>
      <c r="M29" s="156"/>
      <c r="P29" s="157"/>
    </row>
    <row r="30" spans="1:17" s="125" customFormat="1" ht="18" customHeight="1">
      <c r="A30" s="192"/>
      <c r="B30" s="159"/>
      <c r="C30" s="185"/>
      <c r="D30" s="171" t="s">
        <v>0</v>
      </c>
      <c r="E30" s="172"/>
      <c r="F30" s="172"/>
      <c r="G30" s="172"/>
      <c r="H30" s="193">
        <f>+H28+H29</f>
        <v>168.83527662279397</v>
      </c>
      <c r="I30" s="193">
        <f>+I28+I29</f>
        <v>168.83527662279397</v>
      </c>
      <c r="K30" s="154"/>
      <c r="L30" s="155"/>
      <c r="M30" s="156"/>
      <c r="P30" s="157"/>
      <c r="Q30" s="157"/>
    </row>
    <row r="31" spans="1:17" s="125" customFormat="1" ht="58.5" customHeight="1">
      <c r="A31" s="184">
        <v>4</v>
      </c>
      <c r="B31" s="159"/>
      <c r="C31" s="185"/>
      <c r="D31" s="161" t="s">
        <v>60</v>
      </c>
      <c r="E31" s="186"/>
      <c r="F31" s="162"/>
      <c r="G31" s="163"/>
      <c r="H31" s="163"/>
      <c r="I31" s="189"/>
      <c r="K31" s="154"/>
      <c r="L31" s="155"/>
      <c r="M31" s="156"/>
      <c r="P31" s="157"/>
    </row>
    <row r="32" spans="1:17" s="125" customFormat="1" ht="35.25" customHeight="1">
      <c r="A32" s="190"/>
      <c r="B32" s="176" t="s">
        <v>55</v>
      </c>
      <c r="C32" s="176" t="s">
        <v>61</v>
      </c>
      <c r="D32" s="174" t="s">
        <v>171</v>
      </c>
      <c r="E32" s="186"/>
      <c r="F32" s="162"/>
      <c r="G32" s="163"/>
      <c r="H32" s="162"/>
      <c r="I32" s="177"/>
      <c r="K32" s="154"/>
      <c r="L32" s="155"/>
      <c r="M32" s="156"/>
      <c r="P32" s="157"/>
    </row>
    <row r="33" spans="1:28" s="125" customFormat="1" ht="35.25" customHeight="1">
      <c r="A33" s="190"/>
      <c r="B33" s="176" t="s">
        <v>55</v>
      </c>
      <c r="C33" s="176" t="s">
        <v>61</v>
      </c>
      <c r="D33" s="174" t="s">
        <v>73</v>
      </c>
      <c r="E33" s="186"/>
      <c r="F33" s="162"/>
      <c r="G33" s="163"/>
      <c r="H33" s="162"/>
      <c r="I33" s="355"/>
      <c r="K33" s="154"/>
      <c r="L33" s="155"/>
      <c r="M33" s="156"/>
      <c r="P33" s="157"/>
    </row>
    <row r="34" spans="1:28" s="125" customFormat="1" ht="18" customHeight="1">
      <c r="A34" s="190"/>
      <c r="B34" s="159"/>
      <c r="C34" s="185"/>
      <c r="D34" s="174" t="s">
        <v>62</v>
      </c>
      <c r="E34" s="186"/>
      <c r="F34" s="162"/>
      <c r="G34" s="163"/>
      <c r="H34" s="162"/>
      <c r="I34" s="355"/>
      <c r="K34" s="154"/>
      <c r="L34" s="155"/>
      <c r="M34" s="156"/>
      <c r="P34" s="157"/>
    </row>
    <row r="35" spans="1:28" s="125" customFormat="1" ht="18" customHeight="1">
      <c r="A35" s="190"/>
      <c r="B35" s="159"/>
      <c r="C35" s="185"/>
      <c r="D35" s="174" t="s">
        <v>63</v>
      </c>
      <c r="E35" s="186"/>
      <c r="F35" s="162"/>
      <c r="G35" s="163"/>
      <c r="H35" s="162"/>
      <c r="I35" s="355"/>
      <c r="K35" s="154"/>
      <c r="L35" s="155"/>
      <c r="M35" s="156"/>
      <c r="P35" s="157"/>
    </row>
    <row r="36" spans="1:28" s="125" customFormat="1" ht="18" customHeight="1">
      <c r="A36" s="192"/>
      <c r="B36" s="159"/>
      <c r="C36" s="185"/>
      <c r="D36" s="171" t="s">
        <v>0</v>
      </c>
      <c r="E36" s="172"/>
      <c r="F36" s="172"/>
      <c r="G36" s="172"/>
      <c r="H36" s="172"/>
      <c r="I36" s="193"/>
      <c r="K36" s="154"/>
      <c r="L36" s="155"/>
      <c r="M36" s="156"/>
      <c r="P36" s="157"/>
      <c r="Q36" s="157"/>
    </row>
    <row r="37" spans="1:28" s="125" customFormat="1" ht="41.25" customHeight="1">
      <c r="A37" s="158">
        <v>5</v>
      </c>
      <c r="B37" s="159"/>
      <c r="C37" s="160"/>
      <c r="D37" s="161" t="s">
        <v>64</v>
      </c>
      <c r="E37" s="162"/>
      <c r="F37" s="162"/>
      <c r="G37" s="162"/>
      <c r="H37" s="163"/>
      <c r="I37" s="356"/>
      <c r="K37" s="154"/>
      <c r="L37" s="155"/>
      <c r="M37" s="156"/>
      <c r="P37" s="157"/>
    </row>
    <row r="38" spans="1:28" s="125" customFormat="1" ht="42">
      <c r="A38" s="194"/>
      <c r="B38" s="176" t="s">
        <v>55</v>
      </c>
      <c r="C38" s="176" t="s">
        <v>65</v>
      </c>
      <c r="D38" s="174" t="s">
        <v>74</v>
      </c>
      <c r="E38" s="162">
        <f>+E26*0.03</f>
        <v>194.80993456476224</v>
      </c>
      <c r="F38" s="162"/>
      <c r="G38" s="162"/>
      <c r="H38" s="162"/>
      <c r="I38" s="177">
        <f>+F38+E38</f>
        <v>194.80993456476224</v>
      </c>
      <c r="K38" s="154"/>
      <c r="L38" s="155"/>
      <c r="M38" s="156"/>
      <c r="P38" s="157"/>
    </row>
    <row r="39" spans="1:28" s="125" customFormat="1" ht="18" customHeight="1">
      <c r="A39" s="195"/>
      <c r="B39" s="159"/>
      <c r="C39" s="160"/>
      <c r="D39" s="171" t="s">
        <v>0</v>
      </c>
      <c r="E39" s="172">
        <f>+E38</f>
        <v>194.80993456476224</v>
      </c>
      <c r="F39" s="172"/>
      <c r="G39" s="172"/>
      <c r="H39" s="172"/>
      <c r="I39" s="193">
        <f>+I38</f>
        <v>194.80993456476224</v>
      </c>
      <c r="K39" s="154"/>
      <c r="L39" s="155"/>
      <c r="M39" s="156"/>
      <c r="P39" s="157"/>
      <c r="Q39" s="157"/>
    </row>
    <row r="40" spans="1:28" s="125" customFormat="1" ht="21" customHeight="1" thickBot="1">
      <c r="A40" s="196"/>
      <c r="B40" s="197"/>
      <c r="C40" s="198"/>
      <c r="D40" s="199" t="s">
        <v>66</v>
      </c>
      <c r="E40" s="200">
        <f>+E39+E26</f>
        <v>6688.4744200568375</v>
      </c>
      <c r="F40" s="200"/>
      <c r="G40" s="200"/>
      <c r="H40" s="200">
        <f>+H30</f>
        <v>168.83527662279397</v>
      </c>
      <c r="I40" s="200">
        <f>+F40+E40+H40</f>
        <v>6857.3096966796311</v>
      </c>
      <c r="K40" s="154"/>
      <c r="L40" s="168">
        <f>+E40/L13+G40/L13</f>
        <v>13.512069535468358</v>
      </c>
      <c r="M40" s="156"/>
      <c r="N40" s="168">
        <f>+I40/L13</f>
        <v>13.853150902383094</v>
      </c>
      <c r="P40" s="157" t="s">
        <v>34</v>
      </c>
      <c r="Q40" s="157"/>
    </row>
    <row r="41" spans="1:28" s="125" customFormat="1" ht="24" customHeight="1" thickBot="1">
      <c r="A41" s="201"/>
      <c r="B41" s="202"/>
      <c r="C41" s="203"/>
      <c r="D41" s="204" t="s">
        <v>67</v>
      </c>
      <c r="E41" s="205">
        <f>+E40*0.2</f>
        <v>1337.6948840113675</v>
      </c>
      <c r="F41" s="206"/>
      <c r="G41" s="206"/>
      <c r="H41" s="207">
        <f>+H40*0.2</f>
        <v>33.767055324558797</v>
      </c>
      <c r="I41" s="207">
        <f>+H41+E41</f>
        <v>1371.4619393359264</v>
      </c>
      <c r="J41" s="208"/>
      <c r="K41" s="154"/>
      <c r="L41" s="155"/>
      <c r="M41" s="156"/>
      <c r="P41" s="157"/>
    </row>
    <row r="42" spans="1:28" s="125" customFormat="1" ht="23.25" customHeight="1" thickBot="1">
      <c r="A42" s="201"/>
      <c r="B42" s="209"/>
      <c r="C42" s="210"/>
      <c r="D42" s="211" t="s">
        <v>2</v>
      </c>
      <c r="E42" s="212">
        <f>+E40+E41</f>
        <v>8026.1693040682048</v>
      </c>
      <c r="F42" s="213"/>
      <c r="G42" s="213"/>
      <c r="H42" s="214">
        <f>+H41+H40</f>
        <v>202.60233194735275</v>
      </c>
      <c r="I42" s="214">
        <f>+I41+I40</f>
        <v>8228.7716360155573</v>
      </c>
      <c r="K42" s="154"/>
      <c r="L42" s="168">
        <f>+E42/L13+G42/L13</f>
        <v>16.214483442562031</v>
      </c>
      <c r="M42" s="156"/>
      <c r="N42" s="168">
        <f>+I42/L13</f>
        <v>16.623781082859711</v>
      </c>
      <c r="P42" s="157"/>
      <c r="Q42" s="157"/>
      <c r="R42" s="215"/>
      <c r="S42" s="157"/>
    </row>
    <row r="43" spans="1:28" s="170" customFormat="1" ht="18.75" customHeight="1">
      <c r="A43" s="216"/>
      <c r="B43" s="217"/>
      <c r="C43" s="217"/>
      <c r="D43" s="218"/>
      <c r="E43" s="219"/>
      <c r="F43" s="219"/>
      <c r="G43" s="219"/>
      <c r="H43" s="219"/>
      <c r="I43" s="219"/>
      <c r="J43" s="216"/>
      <c r="K43" s="220"/>
    </row>
    <row r="44" spans="1:28" s="170" customFormat="1" ht="18.75" customHeight="1">
      <c r="A44" s="216"/>
      <c r="B44" s="217"/>
      <c r="C44" s="217"/>
      <c r="D44" s="268"/>
      <c r="E44" s="411" t="s">
        <v>80</v>
      </c>
      <c r="F44" s="411"/>
      <c r="G44" s="411"/>
      <c r="H44" s="411"/>
      <c r="I44" s="219">
        <f>+E23*0.15*1.2</f>
        <v>9.1891478568284075</v>
      </c>
      <c r="J44" s="216"/>
      <c r="K44" s="220"/>
    </row>
    <row r="45" spans="1:28" s="170" customFormat="1" ht="18" customHeight="1">
      <c r="A45" s="216"/>
      <c r="B45" s="412"/>
      <c r="C45" s="412"/>
      <c r="D45" s="412"/>
      <c r="E45" s="269"/>
      <c r="F45" s="267"/>
      <c r="G45" s="267"/>
      <c r="H45" s="219"/>
      <c r="I45" s="219"/>
      <c r="J45" s="216"/>
      <c r="K45" s="220"/>
    </row>
    <row r="46" spans="1:28" s="225" customFormat="1">
      <c r="A46" s="221"/>
      <c r="B46" s="221"/>
      <c r="C46" s="221"/>
      <c r="D46" s="221"/>
      <c r="E46" s="69" t="s">
        <v>106</v>
      </c>
      <c r="F46" s="221"/>
      <c r="G46" s="221"/>
      <c r="H46" s="221"/>
      <c r="I46" s="221"/>
      <c r="J46" s="221"/>
      <c r="K46" s="221"/>
      <c r="L46" s="221"/>
      <c r="M46" s="221"/>
      <c r="N46" s="221"/>
      <c r="O46" s="222"/>
      <c r="P46" s="223"/>
      <c r="Q46" s="224"/>
      <c r="R46" s="224"/>
      <c r="S46" s="224"/>
      <c r="T46" s="221"/>
      <c r="U46" s="221"/>
      <c r="V46" s="221"/>
      <c r="W46" s="224"/>
      <c r="X46" s="224"/>
      <c r="Y46" s="224"/>
      <c r="Z46" s="221"/>
      <c r="AA46" s="221"/>
      <c r="AB46" s="221"/>
    </row>
    <row r="47" spans="1:28">
      <c r="B47" s="226"/>
      <c r="C47" s="226"/>
      <c r="G47" s="227"/>
      <c r="S47" s="105"/>
    </row>
    <row r="48" spans="1:28">
      <c r="B48" s="226"/>
      <c r="C48" s="226"/>
    </row>
    <row r="49" spans="2:16">
      <c r="B49" s="226"/>
      <c r="C49" s="226"/>
      <c r="I49" s="228"/>
    </row>
    <row r="50" spans="2:16">
      <c r="B50" s="226"/>
      <c r="C50" s="226"/>
      <c r="I50" s="229"/>
      <c r="N50" s="229"/>
      <c r="P50" s="229"/>
    </row>
    <row r="51" spans="2:16">
      <c r="B51" s="226"/>
      <c r="C51" s="226"/>
    </row>
    <row r="52" spans="2:16">
      <c r="B52" s="226"/>
      <c r="C52" s="226"/>
    </row>
    <row r="53" spans="2:16">
      <c r="B53" s="226"/>
      <c r="C53" s="226"/>
      <c r="I53" s="229"/>
    </row>
    <row r="54" spans="2:16">
      <c r="B54" s="226"/>
      <c r="C54" s="226"/>
    </row>
    <row r="55" spans="2:16">
      <c r="B55" s="226"/>
      <c r="C55" s="226"/>
    </row>
    <row r="56" spans="2:16">
      <c r="B56" s="226"/>
      <c r="C56" s="226"/>
    </row>
    <row r="57" spans="2:16" ht="22.5">
      <c r="B57" s="226"/>
      <c r="C57" s="226"/>
      <c r="E57" s="229"/>
      <c r="L57" s="299"/>
      <c r="M57" s="300" t="s">
        <v>72</v>
      </c>
    </row>
    <row r="58" spans="2:16">
      <c r="B58" s="226"/>
      <c r="C58" s="226"/>
    </row>
    <row r="59" spans="2:16">
      <c r="B59" s="226"/>
      <c r="C59" s="226"/>
    </row>
    <row r="60" spans="2:16">
      <c r="B60" s="226"/>
      <c r="C60" s="226"/>
    </row>
    <row r="61" spans="2:16">
      <c r="B61" s="226"/>
      <c r="C61" s="226"/>
    </row>
    <row r="62" spans="2:16">
      <c r="B62" s="226"/>
      <c r="C62" s="226"/>
    </row>
    <row r="63" spans="2:16">
      <c r="B63" s="226"/>
      <c r="C63" s="226"/>
    </row>
    <row r="64" spans="2:16">
      <c r="B64" s="226"/>
      <c r="C64" s="226"/>
    </row>
    <row r="65" spans="2:3">
      <c r="B65" s="226"/>
      <c r="C65" s="226"/>
    </row>
    <row r="66" spans="2:3">
      <c r="B66" s="226"/>
      <c r="C66" s="226"/>
    </row>
    <row r="67" spans="2:3">
      <c r="B67" s="226"/>
      <c r="C67" s="226"/>
    </row>
    <row r="68" spans="2:3">
      <c r="B68" s="226"/>
      <c r="C68" s="226"/>
    </row>
    <row r="69" spans="2:3">
      <c r="B69" s="226"/>
      <c r="C69" s="226"/>
    </row>
    <row r="70" spans="2:3">
      <c r="B70" s="226"/>
      <c r="C70" s="226"/>
    </row>
    <row r="71" spans="2:3">
      <c r="B71" s="226"/>
      <c r="C71" s="226"/>
    </row>
    <row r="72" spans="2:3">
      <c r="B72" s="226"/>
      <c r="C72" s="226"/>
    </row>
    <row r="73" spans="2:3">
      <c r="B73" s="226"/>
      <c r="C73" s="226"/>
    </row>
    <row r="74" spans="2:3">
      <c r="B74" s="226"/>
      <c r="C74" s="226"/>
    </row>
    <row r="75" spans="2:3">
      <c r="B75" s="226"/>
      <c r="C75" s="226"/>
    </row>
  </sheetData>
  <mergeCells count="9">
    <mergeCell ref="K14:M14"/>
    <mergeCell ref="E44:H44"/>
    <mergeCell ref="B45:D45"/>
    <mergeCell ref="D10:G10"/>
    <mergeCell ref="A13:A14"/>
    <mergeCell ref="B13:B14"/>
    <mergeCell ref="C13:C14"/>
    <mergeCell ref="D13:D14"/>
    <mergeCell ref="E13:I13"/>
  </mergeCells>
  <pageMargins left="0.27" right="0" top="0.28000000000000003" bottom="0" header="0" footer="0"/>
  <pageSetup paperSize="9" scale="90" orientation="landscape" verticalDpi="300" r:id="rId1"/>
  <headerFooter alignWithMargins="0"/>
  <rowBreaks count="2" manualBreakCount="2">
    <brk id="26" max="8" man="1"/>
    <brk id="4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S156"/>
  <sheetViews>
    <sheetView tabSelected="1" view="pageBreakPreview" topLeftCell="A4" zoomScale="90" zoomScaleNormal="85" zoomScaleSheetLayoutView="90" workbookViewId="0">
      <selection activeCell="I146" sqref="I146"/>
    </sheetView>
  </sheetViews>
  <sheetFormatPr defaultRowHeight="12.75" outlineLevelRow="1"/>
  <cols>
    <col min="1" max="1" width="4.5703125" style="294" customWidth="1"/>
    <col min="2" max="2" width="9.7109375" style="294" customWidth="1"/>
    <col min="3" max="3" width="44.42578125" style="294" customWidth="1"/>
    <col min="4" max="4" width="7.5703125" style="294" customWidth="1"/>
    <col min="5" max="5" width="8.5703125" style="294" customWidth="1"/>
    <col min="6" max="6" width="4.5703125" style="294" customWidth="1"/>
    <col min="7" max="7" width="8.5703125" style="294" customWidth="1"/>
    <col min="8" max="8" width="7.85546875" style="294" customWidth="1"/>
    <col min="9" max="9" width="7.5703125" style="294" customWidth="1"/>
    <col min="10" max="10" width="7.42578125" style="294" customWidth="1"/>
    <col min="11" max="11" width="8" style="294" customWidth="1"/>
    <col min="12" max="12" width="7" style="294" customWidth="1"/>
    <col min="13" max="13" width="7.28515625" style="294" customWidth="1"/>
    <col min="14" max="14" width="7.42578125" style="294" customWidth="1"/>
    <col min="15" max="15" width="12" style="294" customWidth="1"/>
    <col min="16" max="16" width="11.28515625" style="294" bestFit="1" customWidth="1"/>
    <col min="17" max="17" width="9.7109375" style="294" bestFit="1" customWidth="1"/>
    <col min="18" max="18" width="9.140625" style="294"/>
    <col min="19" max="19" width="10.85546875" style="294" customWidth="1"/>
    <col min="20" max="21" width="9.140625" style="294"/>
    <col min="22" max="22" width="13.28515625" style="294" customWidth="1"/>
    <col min="23" max="16384" width="9.140625" style="294"/>
  </cols>
  <sheetData>
    <row r="1" spans="1:149" s="288" customFormat="1" ht="72" customHeight="1">
      <c r="H1" s="290"/>
      <c r="R1" s="288">
        <f>1.088*1.05*1.02</f>
        <v>1.1652480000000001</v>
      </c>
      <c r="S1" s="288">
        <v>2.0484200000000001</v>
      </c>
      <c r="T1" s="288">
        <v>3.0853000000000002</v>
      </c>
      <c r="U1" s="288">
        <v>1</v>
      </c>
      <c r="V1" s="288">
        <v>1</v>
      </c>
      <c r="W1" s="288">
        <v>1</v>
      </c>
    </row>
    <row r="2" spans="1:149" ht="17.25" hidden="1" customHeight="1"/>
    <row r="3" spans="1:149" hidden="1"/>
    <row r="4" spans="1:149" s="88" customFormat="1" ht="18.75" customHeight="1">
      <c r="B4" s="2"/>
      <c r="C4" s="2"/>
      <c r="D4" s="3"/>
      <c r="E4" s="3" t="s">
        <v>82</v>
      </c>
      <c r="F4" s="3"/>
      <c r="G4" s="3"/>
      <c r="I4" s="3"/>
      <c r="J4" s="3"/>
      <c r="K4" s="3"/>
      <c r="L4" s="2"/>
      <c r="M4" s="4"/>
      <c r="P4" s="5"/>
      <c r="Q4" s="5"/>
      <c r="R4" s="83"/>
      <c r="S4" s="83"/>
      <c r="T4" s="27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</row>
    <row r="5" spans="1:149" s="88" customFormat="1" ht="21" customHeight="1">
      <c r="B5" s="2"/>
      <c r="C5" s="2"/>
      <c r="D5" s="3"/>
      <c r="E5" s="1" t="s">
        <v>117</v>
      </c>
      <c r="F5" s="3"/>
      <c r="G5" s="3"/>
      <c r="H5" s="3"/>
      <c r="I5" s="3"/>
      <c r="J5" s="3"/>
      <c r="K5" s="3"/>
      <c r="L5" s="2"/>
      <c r="M5" s="4"/>
      <c r="P5" s="5"/>
      <c r="Q5" s="5"/>
      <c r="R5" s="83"/>
      <c r="S5" s="83"/>
      <c r="T5" s="27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</row>
    <row r="6" spans="1:149" s="83" customFormat="1" ht="17.25" customHeight="1">
      <c r="B6" s="6"/>
      <c r="C6" s="6"/>
      <c r="D6" s="1"/>
      <c r="E6" s="1" t="s">
        <v>79</v>
      </c>
      <c r="F6" s="1"/>
      <c r="G6" s="1"/>
      <c r="H6" s="1"/>
      <c r="I6" s="1"/>
      <c r="J6" s="1"/>
      <c r="K6" s="1"/>
      <c r="L6" s="7"/>
      <c r="M6" s="8"/>
      <c r="P6" s="5"/>
      <c r="Q6" s="5"/>
      <c r="V6" s="273"/>
    </row>
    <row r="7" spans="1:149" s="83" customFormat="1" ht="18.75" customHeight="1">
      <c r="B7" s="6"/>
      <c r="C7" s="6"/>
      <c r="D7" s="1"/>
      <c r="E7" s="124" t="s">
        <v>118</v>
      </c>
      <c r="F7" s="1"/>
      <c r="G7" s="1"/>
      <c r="H7" s="1"/>
      <c r="I7" s="1"/>
      <c r="J7" s="1"/>
      <c r="K7" s="1"/>
      <c r="L7" s="7"/>
      <c r="M7" s="8"/>
      <c r="P7" s="5"/>
      <c r="Q7" s="5"/>
      <c r="V7" s="273"/>
    </row>
    <row r="8" spans="1:149" s="88" customFormat="1" ht="12" customHeight="1">
      <c r="A8" s="9"/>
      <c r="B8" s="274"/>
      <c r="D8" s="10"/>
      <c r="E8" s="11" t="s">
        <v>3</v>
      </c>
      <c r="F8" s="10"/>
      <c r="G8" s="10"/>
      <c r="H8" s="10"/>
      <c r="I8" s="10"/>
      <c r="J8" s="10"/>
      <c r="K8" s="10"/>
      <c r="L8" s="11"/>
      <c r="M8" s="275"/>
      <c r="P8" s="66"/>
      <c r="Q8" s="66"/>
      <c r="R8" s="83"/>
      <c r="S8" s="83"/>
      <c r="T8" s="27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</row>
    <row r="9" spans="1:149" s="88" customFormat="1" ht="23.25" customHeight="1">
      <c r="A9" s="9"/>
      <c r="B9" s="274"/>
      <c r="D9" s="10"/>
      <c r="E9" s="103" t="s">
        <v>83</v>
      </c>
      <c r="F9" s="10"/>
      <c r="G9" s="10"/>
      <c r="H9" s="10"/>
      <c r="I9" s="10"/>
      <c r="J9" s="10"/>
      <c r="K9" s="10"/>
      <c r="L9" s="11"/>
      <c r="M9" s="275"/>
      <c r="P9" s="66"/>
      <c r="Q9" s="66"/>
      <c r="R9" s="83"/>
      <c r="S9" s="83"/>
      <c r="T9" s="27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3"/>
      <c r="DU9" s="83"/>
      <c r="DV9" s="83"/>
      <c r="DW9" s="83"/>
      <c r="DX9" s="83"/>
      <c r="DY9" s="83"/>
      <c r="DZ9" s="83"/>
      <c r="EA9" s="83"/>
      <c r="EB9" s="83"/>
      <c r="EC9" s="83"/>
      <c r="ED9" s="83"/>
      <c r="EE9" s="83"/>
      <c r="EF9" s="83"/>
      <c r="EG9" s="83"/>
      <c r="EH9" s="83"/>
      <c r="EI9" s="83"/>
      <c r="EJ9" s="83"/>
      <c r="EK9" s="83"/>
      <c r="EL9" s="83"/>
      <c r="EM9" s="83"/>
      <c r="EN9" s="83"/>
      <c r="EO9" s="83"/>
    </row>
    <row r="10" spans="1:149" s="88" customFormat="1" ht="63" customHeight="1" thickBot="1">
      <c r="A10" s="9"/>
      <c r="B10" s="274"/>
      <c r="D10" s="10"/>
      <c r="E10" s="11" t="s">
        <v>35</v>
      </c>
      <c r="F10" s="10"/>
      <c r="G10" s="10"/>
      <c r="H10" s="10"/>
      <c r="I10" s="10"/>
      <c r="J10" s="10"/>
      <c r="K10" s="10"/>
      <c r="L10" s="11"/>
      <c r="M10" s="275"/>
      <c r="P10" s="66"/>
      <c r="Q10" s="66"/>
      <c r="R10" s="83"/>
      <c r="S10" s="83"/>
      <c r="T10" s="27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83"/>
      <c r="BY10" s="83"/>
      <c r="BZ10" s="83"/>
      <c r="CA10" s="83"/>
      <c r="CB10" s="83"/>
      <c r="CC10" s="83"/>
      <c r="CD10" s="83"/>
      <c r="CE10" s="83"/>
      <c r="CF10" s="83"/>
      <c r="CG10" s="83"/>
      <c r="CH10" s="83"/>
      <c r="CI10" s="83"/>
      <c r="CJ10" s="83"/>
      <c r="CK10" s="83"/>
      <c r="CL10" s="83"/>
      <c r="CM10" s="83"/>
      <c r="CN10" s="83"/>
      <c r="CO10" s="83"/>
      <c r="CP10" s="83"/>
      <c r="CQ10" s="83"/>
      <c r="CR10" s="83"/>
      <c r="CS10" s="83"/>
      <c r="CT10" s="83"/>
      <c r="CU10" s="83"/>
      <c r="CV10" s="83"/>
      <c r="CW10" s="83"/>
      <c r="CX10" s="83"/>
      <c r="CY10" s="83"/>
      <c r="CZ10" s="83"/>
      <c r="DA10" s="83"/>
      <c r="DB10" s="83"/>
      <c r="DC10" s="83"/>
      <c r="DD10" s="83"/>
      <c r="DE10" s="83"/>
      <c r="DF10" s="83"/>
      <c r="DG10" s="83"/>
      <c r="DH10" s="83"/>
      <c r="DI10" s="83"/>
      <c r="DJ10" s="83"/>
      <c r="DK10" s="83"/>
      <c r="DL10" s="83"/>
      <c r="DM10" s="83"/>
      <c r="DN10" s="83"/>
      <c r="DO10" s="83"/>
      <c r="DP10" s="83"/>
      <c r="DQ10" s="83"/>
      <c r="DR10" s="83"/>
      <c r="DS10" s="83"/>
      <c r="DT10" s="83"/>
      <c r="DU10" s="83"/>
      <c r="DV10" s="83"/>
      <c r="DW10" s="83"/>
      <c r="DX10" s="83"/>
      <c r="DY10" s="83"/>
      <c r="DZ10" s="83"/>
      <c r="EA10" s="83"/>
      <c r="EB10" s="83"/>
      <c r="EC10" s="83"/>
      <c r="ED10" s="83"/>
      <c r="EE10" s="83"/>
      <c r="EF10" s="83"/>
      <c r="EG10" s="83"/>
      <c r="EH10" s="83"/>
      <c r="EI10" s="83"/>
      <c r="EJ10" s="83"/>
      <c r="EK10" s="83"/>
      <c r="EL10" s="83"/>
      <c r="EM10" s="83"/>
      <c r="EN10" s="83"/>
      <c r="EO10" s="83"/>
    </row>
    <row r="11" spans="1:149" s="88" customFormat="1" ht="3.75" hidden="1" customHeight="1" thickBot="1">
      <c r="A11" s="9"/>
      <c r="B11" s="274"/>
      <c r="D11" s="10"/>
      <c r="E11" s="11"/>
      <c r="F11" s="10"/>
      <c r="G11" s="10"/>
      <c r="H11" s="10"/>
      <c r="I11" s="10"/>
      <c r="J11" s="10"/>
      <c r="K11" s="10"/>
      <c r="L11" s="11"/>
      <c r="M11" s="275"/>
      <c r="P11" s="66"/>
      <c r="Q11" s="66"/>
      <c r="R11" s="83"/>
      <c r="S11" s="83"/>
      <c r="T11" s="27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  <c r="BM11" s="83"/>
      <c r="BN11" s="83"/>
      <c r="BO11" s="83"/>
      <c r="BP11" s="83"/>
      <c r="BQ11" s="83"/>
      <c r="BR11" s="83"/>
      <c r="BS11" s="83"/>
      <c r="BT11" s="83"/>
      <c r="BU11" s="83"/>
      <c r="BV11" s="83"/>
      <c r="BW11" s="83"/>
      <c r="BX11" s="83"/>
      <c r="BY11" s="83"/>
      <c r="BZ11" s="83"/>
      <c r="CA11" s="83"/>
      <c r="CB11" s="83"/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  <c r="CO11" s="83"/>
      <c r="CP11" s="83"/>
      <c r="CQ11" s="83"/>
      <c r="CR11" s="83"/>
      <c r="CS11" s="83"/>
      <c r="CT11" s="83"/>
      <c r="CU11" s="83"/>
      <c r="CV11" s="83"/>
      <c r="CW11" s="83"/>
      <c r="CX11" s="83"/>
      <c r="CY11" s="83"/>
      <c r="CZ11" s="83"/>
      <c r="DA11" s="83"/>
      <c r="DB11" s="83"/>
      <c r="DC11" s="83"/>
      <c r="DD11" s="83"/>
      <c r="DE11" s="83"/>
      <c r="DF11" s="83"/>
      <c r="DG11" s="83"/>
      <c r="DH11" s="83"/>
      <c r="DI11" s="83"/>
      <c r="DJ11" s="83"/>
      <c r="DK11" s="83"/>
      <c r="DL11" s="83"/>
      <c r="DM11" s="83"/>
      <c r="DN11" s="83"/>
      <c r="DO11" s="83"/>
      <c r="DP11" s="83"/>
      <c r="DQ11" s="83"/>
      <c r="DR11" s="83"/>
      <c r="DS11" s="83"/>
      <c r="DT11" s="83"/>
      <c r="DU11" s="83"/>
      <c r="DV11" s="83"/>
      <c r="DW11" s="83"/>
      <c r="DX11" s="83"/>
      <c r="DY11" s="83"/>
      <c r="DZ11" s="83"/>
      <c r="EA11" s="83"/>
      <c r="EB11" s="83"/>
      <c r="EC11" s="83"/>
      <c r="ED11" s="83"/>
      <c r="EE11" s="83"/>
      <c r="EF11" s="83"/>
      <c r="EG11" s="83"/>
      <c r="EH11" s="83"/>
      <c r="EI11" s="83"/>
      <c r="EJ11" s="83"/>
      <c r="EK11" s="83"/>
      <c r="EL11" s="83"/>
      <c r="EM11" s="83"/>
      <c r="EN11" s="83"/>
      <c r="EO11" s="83"/>
    </row>
    <row r="12" spans="1:149" ht="24" hidden="1" customHeight="1" thickBot="1"/>
    <row r="13" spans="1:149" s="88" customFormat="1" ht="60.75" hidden="1" customHeight="1" thickBot="1">
      <c r="A13" s="12"/>
      <c r="B13" s="12"/>
      <c r="C13" s="280"/>
      <c r="D13" s="281"/>
      <c r="E13" s="282"/>
      <c r="F13" s="283"/>
      <c r="G13" s="284"/>
      <c r="H13" s="285"/>
      <c r="I13" s="281"/>
      <c r="J13" s="281"/>
      <c r="K13" s="283"/>
      <c r="L13" s="283"/>
      <c r="M13" s="286"/>
      <c r="N13" s="283"/>
      <c r="O13" s="287"/>
      <c r="R13" s="66"/>
      <c r="S13" s="66"/>
      <c r="T13" s="83"/>
      <c r="U13" s="83"/>
      <c r="V13" s="83"/>
      <c r="W13" s="83"/>
      <c r="X13" s="27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3"/>
      <c r="AW13" s="83"/>
      <c r="AX13" s="83"/>
      <c r="AY13" s="83"/>
      <c r="AZ13" s="83"/>
      <c r="BA13" s="83"/>
      <c r="BB13" s="83"/>
      <c r="BC13" s="83"/>
      <c r="BD13" s="83"/>
      <c r="BE13" s="83"/>
      <c r="BF13" s="83"/>
      <c r="BG13" s="83"/>
      <c r="BH13" s="83"/>
      <c r="BI13" s="83"/>
      <c r="BJ13" s="83"/>
      <c r="BK13" s="83"/>
      <c r="BL13" s="83"/>
      <c r="BM13" s="83"/>
      <c r="BN13" s="83"/>
      <c r="BO13" s="83"/>
      <c r="BP13" s="83"/>
      <c r="BQ13" s="83"/>
      <c r="BR13" s="83"/>
      <c r="BS13" s="83"/>
      <c r="BT13" s="83"/>
      <c r="BU13" s="83"/>
      <c r="BV13" s="83"/>
      <c r="BW13" s="83"/>
      <c r="BX13" s="83"/>
      <c r="BY13" s="83"/>
      <c r="BZ13" s="83"/>
      <c r="CA13" s="83"/>
      <c r="CB13" s="83"/>
      <c r="CC13" s="83"/>
      <c r="CD13" s="83"/>
      <c r="CE13" s="83"/>
      <c r="CF13" s="83"/>
      <c r="CG13" s="83"/>
      <c r="CH13" s="83"/>
      <c r="CI13" s="83"/>
      <c r="CJ13" s="83"/>
      <c r="CK13" s="83"/>
      <c r="CL13" s="83"/>
      <c r="CM13" s="83"/>
      <c r="CN13" s="83"/>
      <c r="CO13" s="83"/>
      <c r="CP13" s="83"/>
      <c r="CQ13" s="83"/>
      <c r="CR13" s="83"/>
      <c r="CS13" s="83"/>
      <c r="CT13" s="83"/>
      <c r="CU13" s="83"/>
      <c r="CV13" s="83"/>
      <c r="CW13" s="83"/>
      <c r="CX13" s="83"/>
      <c r="CY13" s="83"/>
      <c r="CZ13" s="83"/>
      <c r="DA13" s="83"/>
      <c r="DB13" s="83"/>
      <c r="DC13" s="83"/>
      <c r="DD13" s="83"/>
      <c r="DE13" s="83"/>
      <c r="DF13" s="83"/>
      <c r="DG13" s="83"/>
      <c r="DH13" s="83"/>
      <c r="DI13" s="83"/>
      <c r="DJ13" s="83"/>
      <c r="DK13" s="83"/>
      <c r="DL13" s="83"/>
      <c r="DM13" s="83"/>
      <c r="DN13" s="83"/>
      <c r="DO13" s="83"/>
      <c r="DP13" s="83"/>
      <c r="DQ13" s="83"/>
      <c r="DR13" s="83"/>
      <c r="DS13" s="83"/>
      <c r="DT13" s="83"/>
      <c r="DU13" s="83"/>
      <c r="DV13" s="83"/>
      <c r="DW13" s="83"/>
      <c r="DX13" s="83"/>
      <c r="DY13" s="83"/>
      <c r="DZ13" s="83"/>
      <c r="EA13" s="83"/>
      <c r="EB13" s="83"/>
      <c r="EC13" s="83"/>
      <c r="ED13" s="83"/>
      <c r="EE13" s="83"/>
      <c r="EF13" s="83"/>
      <c r="EG13" s="83"/>
      <c r="EH13" s="83"/>
      <c r="EI13" s="83"/>
      <c r="EJ13" s="83"/>
      <c r="EK13" s="83"/>
      <c r="EL13" s="83"/>
      <c r="EM13" s="83"/>
      <c r="EN13" s="83"/>
      <c r="EO13" s="83"/>
      <c r="EP13" s="83"/>
      <c r="EQ13" s="83"/>
      <c r="ER13" s="83"/>
      <c r="ES13" s="83"/>
    </row>
    <row r="14" spans="1:149" s="88" customFormat="1" ht="13.5" customHeight="1">
      <c r="A14" s="432" t="s">
        <v>4</v>
      </c>
      <c r="B14" s="435" t="s">
        <v>5</v>
      </c>
      <c r="C14" s="438" t="s">
        <v>6</v>
      </c>
      <c r="D14" s="435" t="s">
        <v>7</v>
      </c>
      <c r="E14" s="435" t="s">
        <v>8</v>
      </c>
      <c r="F14" s="276" t="s">
        <v>9</v>
      </c>
      <c r="G14" s="276"/>
      <c r="H14" s="276"/>
      <c r="I14" s="276"/>
      <c r="J14" s="276"/>
      <c r="K14" s="276"/>
      <c r="L14" s="276"/>
      <c r="M14" s="276"/>
      <c r="N14" s="277"/>
      <c r="O14" s="423" t="s">
        <v>23</v>
      </c>
      <c r="T14" s="13"/>
    </row>
    <row r="15" spans="1:149" s="88" customFormat="1" ht="14.25" customHeight="1">
      <c r="A15" s="433"/>
      <c r="B15" s="436"/>
      <c r="C15" s="439"/>
      <c r="D15" s="436"/>
      <c r="E15" s="436"/>
      <c r="F15" s="278" t="s">
        <v>10</v>
      </c>
      <c r="G15" s="278"/>
      <c r="H15" s="278"/>
      <c r="I15" s="279"/>
      <c r="J15" s="426" t="s">
        <v>31</v>
      </c>
      <c r="K15" s="426" t="s">
        <v>25</v>
      </c>
      <c r="L15" s="426" t="s">
        <v>32</v>
      </c>
      <c r="M15" s="428" t="s">
        <v>33</v>
      </c>
      <c r="N15" s="430" t="s">
        <v>24</v>
      </c>
      <c r="O15" s="424"/>
      <c r="T15" s="13"/>
    </row>
    <row r="16" spans="1:149" s="88" customFormat="1" ht="50.25" customHeight="1" thickBot="1">
      <c r="A16" s="434"/>
      <c r="B16" s="437"/>
      <c r="C16" s="440"/>
      <c r="D16" s="437"/>
      <c r="E16" s="437"/>
      <c r="F16" s="15" t="s">
        <v>7</v>
      </c>
      <c r="G16" s="14" t="s">
        <v>11</v>
      </c>
      <c r="H16" s="16" t="s">
        <v>12</v>
      </c>
      <c r="I16" s="16" t="s">
        <v>13</v>
      </c>
      <c r="J16" s="427"/>
      <c r="K16" s="427"/>
      <c r="L16" s="427"/>
      <c r="M16" s="429"/>
      <c r="N16" s="431"/>
      <c r="O16" s="425"/>
      <c r="T16" s="13"/>
    </row>
    <row r="17" spans="1:24" s="88" customFormat="1" ht="14.25" customHeight="1" thickBot="1">
      <c r="A17" s="17">
        <v>1</v>
      </c>
      <c r="B17" s="18" t="s">
        <v>14</v>
      </c>
      <c r="C17" s="19">
        <v>3</v>
      </c>
      <c r="D17" s="20">
        <v>4</v>
      </c>
      <c r="E17" s="21">
        <v>5</v>
      </c>
      <c r="F17" s="21">
        <v>6</v>
      </c>
      <c r="G17" s="21">
        <v>7</v>
      </c>
      <c r="H17" s="21">
        <v>8</v>
      </c>
      <c r="I17" s="21">
        <v>9</v>
      </c>
      <c r="J17" s="21" t="s">
        <v>15</v>
      </c>
      <c r="K17" s="21">
        <v>10</v>
      </c>
      <c r="L17" s="21" t="s">
        <v>16</v>
      </c>
      <c r="M17" s="21">
        <v>11</v>
      </c>
      <c r="N17" s="21">
        <v>12</v>
      </c>
      <c r="O17" s="22">
        <v>13</v>
      </c>
      <c r="T17" s="13"/>
    </row>
    <row r="18" spans="1:24" s="235" customFormat="1" ht="4.5" customHeight="1">
      <c r="A18" s="24"/>
      <c r="B18" s="101"/>
      <c r="C18" s="100"/>
      <c r="D18" s="80"/>
      <c r="E18" s="13"/>
      <c r="F18" s="80"/>
      <c r="G18" s="27"/>
      <c r="H18" s="73"/>
      <c r="I18" s="73"/>
      <c r="J18" s="79"/>
      <c r="K18" s="236"/>
      <c r="L18" s="79"/>
      <c r="M18" s="73"/>
      <c r="N18" s="73"/>
      <c r="O18" s="26"/>
      <c r="P18" s="234"/>
      <c r="R18" s="75"/>
      <c r="S18" s="75">
        <f>+I18*E18</f>
        <v>0</v>
      </c>
      <c r="T18" s="75">
        <f>+K18*E18</f>
        <v>0</v>
      </c>
      <c r="U18" s="75">
        <f>+M18*E18</f>
        <v>0</v>
      </c>
    </row>
    <row r="19" spans="1:24" s="235" customFormat="1" ht="19.5" customHeight="1">
      <c r="A19" s="24"/>
      <c r="B19" s="101"/>
      <c r="C19" s="359" t="s">
        <v>71</v>
      </c>
      <c r="D19" s="80"/>
      <c r="E19" s="13"/>
      <c r="F19" s="80"/>
      <c r="G19" s="27"/>
      <c r="H19" s="73"/>
      <c r="I19" s="73"/>
      <c r="J19" s="79"/>
      <c r="K19" s="236"/>
      <c r="L19" s="79"/>
      <c r="M19" s="73"/>
      <c r="N19" s="73"/>
      <c r="O19" s="26"/>
      <c r="P19" s="234"/>
      <c r="R19" s="75"/>
      <c r="S19" s="75"/>
      <c r="T19" s="75"/>
      <c r="U19" s="75"/>
    </row>
    <row r="20" spans="1:24" s="84" customFormat="1" ht="37.5" customHeight="1">
      <c r="A20" s="24">
        <v>1</v>
      </c>
      <c r="B20" s="25" t="s">
        <v>120</v>
      </c>
      <c r="C20" s="71" t="s">
        <v>152</v>
      </c>
      <c r="D20" s="73" t="s">
        <v>19</v>
      </c>
      <c r="E20" s="230">
        <f>2.6*3.8*3/100+9/100</f>
        <v>0.38639999999999997</v>
      </c>
      <c r="F20" s="73"/>
      <c r="G20" s="73"/>
      <c r="H20" s="73"/>
      <c r="I20" s="73"/>
      <c r="J20" s="79">
        <f>69*0.6</f>
        <v>41.4</v>
      </c>
      <c r="K20" s="238">
        <f>+J20*S$1*V$1</f>
        <v>84.804587999999995</v>
      </c>
      <c r="L20" s="79">
        <f>156*0.7</f>
        <v>109.19999999999999</v>
      </c>
      <c r="M20" s="73">
        <f>+L20*T$1*W$1</f>
        <v>336.91476</v>
      </c>
      <c r="N20" s="73">
        <f>+M20+K20+I20</f>
        <v>421.71934799999997</v>
      </c>
      <c r="O20" s="26">
        <f>+N20*E20</f>
        <v>162.95235606719999</v>
      </c>
      <c r="P20" s="83"/>
      <c r="Q20" s="83"/>
      <c r="R20" s="82"/>
      <c r="S20" s="75">
        <f>+I20*E20</f>
        <v>0</v>
      </c>
      <c r="T20" s="75">
        <f>+K20*E20</f>
        <v>32.768492803199997</v>
      </c>
      <c r="U20" s="75">
        <f>+M20*E20</f>
        <v>130.183863264</v>
      </c>
      <c r="X20" s="85"/>
    </row>
    <row r="21" spans="1:24" s="76" customFormat="1" ht="6" customHeight="1">
      <c r="A21" s="24"/>
      <c r="B21" s="98"/>
      <c r="C21" s="78"/>
      <c r="D21" s="80"/>
      <c r="E21" s="52"/>
      <c r="F21" s="80"/>
      <c r="G21" s="27"/>
      <c r="H21" s="73"/>
      <c r="I21" s="73"/>
      <c r="J21" s="79"/>
      <c r="K21" s="81"/>
      <c r="L21" s="79"/>
      <c r="M21" s="81"/>
      <c r="N21" s="73"/>
      <c r="O21" s="28"/>
      <c r="P21" s="74"/>
      <c r="Q21" s="54"/>
      <c r="R21" s="75"/>
      <c r="S21" s="75">
        <f>+I21*E21</f>
        <v>0</v>
      </c>
      <c r="T21" s="75">
        <f>+K21*E21</f>
        <v>0</v>
      </c>
      <c r="U21" s="75">
        <f>+M21*E21</f>
        <v>0</v>
      </c>
      <c r="V21" s="82"/>
      <c r="X21" s="77"/>
    </row>
    <row r="22" spans="1:24" s="84" customFormat="1" ht="23.25" customHeight="1">
      <c r="A22" s="24">
        <v>2</v>
      </c>
      <c r="B22" s="25" t="s">
        <v>120</v>
      </c>
      <c r="C22" s="71" t="s">
        <v>121</v>
      </c>
      <c r="D22" s="73" t="s">
        <v>19</v>
      </c>
      <c r="E22" s="230">
        <f>4*11.3/100</f>
        <v>0.45200000000000001</v>
      </c>
      <c r="F22" s="73"/>
      <c r="G22" s="73"/>
      <c r="H22" s="73"/>
      <c r="I22" s="73"/>
      <c r="J22" s="79">
        <f>69*0.6</f>
        <v>41.4</v>
      </c>
      <c r="K22" s="238">
        <f>+J22*S$1*V$1</f>
        <v>84.804587999999995</v>
      </c>
      <c r="L22" s="79">
        <f>156*0.7</f>
        <v>109.19999999999999</v>
      </c>
      <c r="M22" s="73">
        <f>+L22*T$1*W$1</f>
        <v>336.91476</v>
      </c>
      <c r="N22" s="73">
        <f>+M22+K22+I22</f>
        <v>421.71934799999997</v>
      </c>
      <c r="O22" s="26">
        <f>+N22*E22</f>
        <v>190.61714529599999</v>
      </c>
      <c r="P22" s="83"/>
      <c r="Q22" s="83"/>
      <c r="R22" s="82"/>
      <c r="S22" s="75">
        <f>+I22*E22</f>
        <v>0</v>
      </c>
      <c r="T22" s="75">
        <f>+K22*E22</f>
        <v>38.331673776000002</v>
      </c>
      <c r="U22" s="75">
        <f>+M22*E22</f>
        <v>152.28547152000002</v>
      </c>
      <c r="X22" s="85"/>
    </row>
    <row r="23" spans="1:24" s="76" customFormat="1" ht="6" customHeight="1">
      <c r="A23" s="24"/>
      <c r="B23" s="98"/>
      <c r="C23" s="78"/>
      <c r="D23" s="80"/>
      <c r="E23" s="52"/>
      <c r="F23" s="80"/>
      <c r="G23" s="27"/>
      <c r="H23" s="73"/>
      <c r="I23" s="73"/>
      <c r="J23" s="79"/>
      <c r="K23" s="81"/>
      <c r="L23" s="79"/>
      <c r="M23" s="81"/>
      <c r="N23" s="73"/>
      <c r="O23" s="28"/>
      <c r="P23" s="74"/>
      <c r="Q23" s="54"/>
      <c r="R23" s="75"/>
      <c r="S23" s="75">
        <f t="shared" ref="S23:S33" si="0">+I23*E23</f>
        <v>0</v>
      </c>
      <c r="T23" s="75">
        <f t="shared" ref="T23:T33" si="1">+K23*E23</f>
        <v>0</v>
      </c>
      <c r="U23" s="75">
        <f t="shared" ref="U23:U33" si="2">+M23*E23</f>
        <v>0</v>
      </c>
      <c r="V23" s="82"/>
      <c r="X23" s="77"/>
    </row>
    <row r="24" spans="1:24" s="84" customFormat="1" ht="23.25" customHeight="1">
      <c r="A24" s="24">
        <v>3</v>
      </c>
      <c r="B24" s="25" t="s">
        <v>120</v>
      </c>
      <c r="C24" s="71" t="s">
        <v>122</v>
      </c>
      <c r="D24" s="73" t="s">
        <v>19</v>
      </c>
      <c r="E24" s="55">
        <f>5*3.2/100</f>
        <v>0.16</v>
      </c>
      <c r="F24" s="73"/>
      <c r="G24" s="73"/>
      <c r="H24" s="73"/>
      <c r="I24" s="73"/>
      <c r="J24" s="79">
        <f>69*0.6</f>
        <v>41.4</v>
      </c>
      <c r="K24" s="238">
        <f>+J24*S$1*V$1</f>
        <v>84.804587999999995</v>
      </c>
      <c r="L24" s="79">
        <f>156*0.7</f>
        <v>109.19999999999999</v>
      </c>
      <c r="M24" s="73">
        <f>+L24*T$1*W$1</f>
        <v>336.91476</v>
      </c>
      <c r="N24" s="73">
        <f>+M24+K24+I24</f>
        <v>421.71934799999997</v>
      </c>
      <c r="O24" s="26">
        <f>+N24*E24</f>
        <v>67.475095679999995</v>
      </c>
      <c r="P24" s="83"/>
      <c r="Q24" s="83"/>
      <c r="R24" s="82"/>
      <c r="S24" s="75">
        <f>+I24*E24</f>
        <v>0</v>
      </c>
      <c r="T24" s="75">
        <f>+K24*E24</f>
        <v>13.568734079999999</v>
      </c>
      <c r="U24" s="75">
        <f>+M24*E24</f>
        <v>53.906361600000004</v>
      </c>
      <c r="X24" s="85"/>
    </row>
    <row r="25" spans="1:24" s="76" customFormat="1" ht="6" customHeight="1">
      <c r="A25" s="24"/>
      <c r="B25" s="98"/>
      <c r="C25" s="78"/>
      <c r="D25" s="80"/>
      <c r="E25" s="52"/>
      <c r="F25" s="80"/>
      <c r="G25" s="27"/>
      <c r="H25" s="73"/>
      <c r="I25" s="73"/>
      <c r="J25" s="79"/>
      <c r="K25" s="81"/>
      <c r="L25" s="79"/>
      <c r="M25" s="81"/>
      <c r="N25" s="73"/>
      <c r="O25" s="28"/>
      <c r="P25" s="74"/>
      <c r="Q25" s="54"/>
      <c r="R25" s="75"/>
      <c r="S25" s="75">
        <f>+I25*E25</f>
        <v>0</v>
      </c>
      <c r="T25" s="75">
        <f>+K25*E25</f>
        <v>0</v>
      </c>
      <c r="U25" s="75">
        <f>+M25*E25</f>
        <v>0</v>
      </c>
      <c r="V25" s="82"/>
      <c r="X25" s="77"/>
    </row>
    <row r="26" spans="1:24" s="84" customFormat="1" ht="24.75" customHeight="1">
      <c r="A26" s="24">
        <v>4</v>
      </c>
      <c r="B26" s="25" t="s">
        <v>84</v>
      </c>
      <c r="C26" s="71" t="s">
        <v>153</v>
      </c>
      <c r="D26" s="73" t="s">
        <v>19</v>
      </c>
      <c r="E26" s="230">
        <f>+ 2.1*1/100</f>
        <v>2.1000000000000001E-2</v>
      </c>
      <c r="F26" s="73"/>
      <c r="G26" s="73"/>
      <c r="H26" s="73"/>
      <c r="I26" s="73"/>
      <c r="J26" s="79">
        <v>45.7</v>
      </c>
      <c r="K26" s="73">
        <f>+J26*S$1*V$1</f>
        <v>93.612794000000008</v>
      </c>
      <c r="L26" s="79">
        <v>9.8000000000000007</v>
      </c>
      <c r="M26" s="73">
        <f>+L26*T$1*W$1</f>
        <v>30.235940000000003</v>
      </c>
      <c r="N26" s="73">
        <f>+M26+K26+I26</f>
        <v>123.84873400000001</v>
      </c>
      <c r="O26" s="26">
        <f>+N26*E26</f>
        <v>2.6008234140000002</v>
      </c>
      <c r="P26" s="83"/>
      <c r="Q26" s="83"/>
      <c r="R26" s="82"/>
      <c r="S26" s="75">
        <f t="shared" si="0"/>
        <v>0</v>
      </c>
      <c r="T26" s="75">
        <f t="shared" si="1"/>
        <v>1.9658686740000002</v>
      </c>
      <c r="U26" s="75">
        <f t="shared" si="2"/>
        <v>0.63495474000000007</v>
      </c>
      <c r="X26" s="85"/>
    </row>
    <row r="27" spans="1:24" s="76" customFormat="1" ht="1.5" customHeight="1">
      <c r="A27" s="24"/>
      <c r="B27" s="98"/>
      <c r="C27" s="78"/>
      <c r="D27" s="80"/>
      <c r="E27" s="52"/>
      <c r="F27" s="80"/>
      <c r="G27" s="27"/>
      <c r="H27" s="73"/>
      <c r="I27" s="73"/>
      <c r="J27" s="79"/>
      <c r="K27" s="81"/>
      <c r="L27" s="79"/>
      <c r="M27" s="81"/>
      <c r="N27" s="73"/>
      <c r="O27" s="28"/>
      <c r="P27" s="74"/>
      <c r="Q27" s="54"/>
      <c r="R27" s="75"/>
      <c r="S27" s="75">
        <f t="shared" si="0"/>
        <v>0</v>
      </c>
      <c r="T27" s="75">
        <f t="shared" si="1"/>
        <v>0</v>
      </c>
      <c r="U27" s="75">
        <f t="shared" si="2"/>
        <v>0</v>
      </c>
      <c r="V27" s="82"/>
      <c r="X27" s="77"/>
    </row>
    <row r="28" spans="1:24" s="23" customFormat="1" ht="15.75" customHeight="1">
      <c r="A28" s="24"/>
      <c r="B28" s="308"/>
      <c r="C28" s="312" t="s">
        <v>86</v>
      </c>
      <c r="D28" s="313"/>
      <c r="E28" s="13"/>
      <c r="F28" s="292"/>
      <c r="G28" s="27"/>
      <c r="H28" s="73"/>
      <c r="I28" s="73"/>
      <c r="J28" s="73"/>
      <c r="K28" s="73"/>
      <c r="L28" s="73"/>
      <c r="M28" s="73"/>
      <c r="N28" s="73"/>
      <c r="O28" s="26">
        <f>SUM(O20:O27)</f>
        <v>423.64542045719992</v>
      </c>
      <c r="P28" s="74"/>
      <c r="Q28" s="74"/>
      <c r="R28" s="75"/>
      <c r="S28" s="75">
        <f>+I28*E28</f>
        <v>0</v>
      </c>
      <c r="T28" s="75">
        <f>+K28*E28</f>
        <v>0</v>
      </c>
      <c r="U28" s="75">
        <f>+M28*E28</f>
        <v>0</v>
      </c>
      <c r="V28" s="76"/>
      <c r="W28" s="76"/>
      <c r="X28" s="77"/>
    </row>
    <row r="29" spans="1:24" s="23" customFormat="1" ht="18" customHeight="1">
      <c r="A29" s="24"/>
      <c r="B29" s="308"/>
      <c r="C29" s="312" t="s">
        <v>87</v>
      </c>
      <c r="D29" s="313"/>
      <c r="E29" s="13"/>
      <c r="F29" s="292"/>
      <c r="G29" s="27"/>
      <c r="H29" s="73"/>
      <c r="I29" s="73"/>
      <c r="J29" s="73"/>
      <c r="K29" s="73"/>
      <c r="L29" s="73"/>
      <c r="M29" s="73"/>
      <c r="N29" s="73"/>
      <c r="O29" s="314">
        <f>+O28/O$143</f>
        <v>8.3491575686911235E-2</v>
      </c>
      <c r="P29" s="74"/>
      <c r="Q29" s="337"/>
      <c r="R29" s="75"/>
      <c r="S29" s="75">
        <f>+I29*E29</f>
        <v>0</v>
      </c>
      <c r="T29" s="75">
        <f>+K29*E29</f>
        <v>0</v>
      </c>
      <c r="U29" s="75">
        <f>+M29*E29</f>
        <v>0</v>
      </c>
      <c r="V29" s="76"/>
      <c r="W29" s="76"/>
      <c r="X29" s="77"/>
    </row>
    <row r="30" spans="1:24" s="235" customFormat="1" ht="21" customHeight="1">
      <c r="A30" s="24"/>
      <c r="B30" s="101"/>
      <c r="C30" s="359" t="s">
        <v>156</v>
      </c>
      <c r="D30" s="80"/>
      <c r="E30" s="13"/>
      <c r="F30" s="80"/>
      <c r="G30" s="27"/>
      <c r="H30" s="73"/>
      <c r="I30" s="73"/>
      <c r="J30" s="79"/>
      <c r="K30" s="236"/>
      <c r="L30" s="79"/>
      <c r="M30" s="73"/>
      <c r="N30" s="73"/>
      <c r="O30" s="26"/>
      <c r="P30" s="234"/>
      <c r="R30" s="75"/>
      <c r="S30" s="75"/>
      <c r="T30" s="75"/>
      <c r="U30" s="75"/>
    </row>
    <row r="31" spans="1:24" s="76" customFormat="1" ht="37.5" customHeight="1">
      <c r="A31" s="24">
        <v>5</v>
      </c>
      <c r="B31" s="25" t="s">
        <v>69</v>
      </c>
      <c r="C31" s="71" t="s">
        <v>123</v>
      </c>
      <c r="D31" s="72" t="s">
        <v>29</v>
      </c>
      <c r="E31" s="55">
        <f>2.1*1*1</f>
        <v>2.1</v>
      </c>
      <c r="F31" s="80"/>
      <c r="G31" s="27"/>
      <c r="H31" s="73"/>
      <c r="I31" s="73">
        <f>SUM(I32)</f>
        <v>43.466999999999999</v>
      </c>
      <c r="J31" s="79"/>
      <c r="K31" s="81"/>
      <c r="L31" s="79"/>
      <c r="M31" s="81"/>
      <c r="N31" s="73">
        <f>+I31+K31+M31</f>
        <v>43.466999999999999</v>
      </c>
      <c r="O31" s="26">
        <f>+N31*E31</f>
        <v>91.280699999999996</v>
      </c>
      <c r="P31" s="54"/>
      <c r="Q31" s="54"/>
      <c r="R31" s="75"/>
      <c r="S31" s="75">
        <f t="shared" si="0"/>
        <v>91.280699999999996</v>
      </c>
      <c r="T31" s="75">
        <f t="shared" si="1"/>
        <v>0</v>
      </c>
      <c r="U31" s="75">
        <f t="shared" si="2"/>
        <v>0</v>
      </c>
      <c r="X31" s="77"/>
    </row>
    <row r="32" spans="1:24" s="76" customFormat="1" ht="28.5" customHeight="1">
      <c r="A32" s="24"/>
      <c r="B32" s="266"/>
      <c r="C32" s="96" t="s">
        <v>124</v>
      </c>
      <c r="D32" s="80"/>
      <c r="E32" s="51"/>
      <c r="F32" s="80" t="s">
        <v>29</v>
      </c>
      <c r="G32" s="27">
        <v>1</v>
      </c>
      <c r="H32" s="73">
        <v>43.466999999999999</v>
      </c>
      <c r="I32" s="73">
        <f>+H32*G32</f>
        <v>43.466999999999999</v>
      </c>
      <c r="J32" s="79"/>
      <c r="K32" s="81"/>
      <c r="L32" s="79"/>
      <c r="M32" s="81"/>
      <c r="N32" s="73"/>
      <c r="O32" s="26"/>
      <c r="P32" s="54"/>
      <c r="Q32" s="54"/>
      <c r="R32" s="75"/>
      <c r="S32" s="75">
        <f t="shared" si="0"/>
        <v>0</v>
      </c>
      <c r="T32" s="75">
        <f t="shared" si="1"/>
        <v>0</v>
      </c>
      <c r="U32" s="75">
        <f t="shared" si="2"/>
        <v>0</v>
      </c>
      <c r="X32" s="77"/>
    </row>
    <row r="33" spans="1:24" s="333" customFormat="1" ht="3.75" customHeight="1">
      <c r="A33" s="24"/>
      <c r="B33" s="25"/>
      <c r="C33" s="71"/>
      <c r="D33" s="72"/>
      <c r="E33" s="51"/>
      <c r="F33" s="72"/>
      <c r="G33" s="27"/>
      <c r="H33" s="73"/>
      <c r="I33" s="73"/>
      <c r="J33" s="79"/>
      <c r="K33" s="73"/>
      <c r="L33" s="79"/>
      <c r="M33" s="73"/>
      <c r="N33" s="73"/>
      <c r="O33" s="26"/>
      <c r="P33" s="88"/>
      <c r="S33" s="75">
        <f t="shared" si="0"/>
        <v>0</v>
      </c>
      <c r="T33" s="75">
        <f t="shared" si="1"/>
        <v>0</v>
      </c>
      <c r="U33" s="75">
        <f t="shared" si="2"/>
        <v>0</v>
      </c>
    </row>
    <row r="34" spans="1:24" s="76" customFormat="1" ht="52.5" customHeight="1">
      <c r="A34" s="24">
        <v>6</v>
      </c>
      <c r="B34" s="25" t="s">
        <v>69</v>
      </c>
      <c r="C34" s="71" t="s">
        <v>125</v>
      </c>
      <c r="D34" s="72" t="s">
        <v>29</v>
      </c>
      <c r="E34" s="55">
        <f>4*11.3</f>
        <v>45.2</v>
      </c>
      <c r="F34" s="80"/>
      <c r="G34" s="27"/>
      <c r="H34" s="73"/>
      <c r="I34" s="73">
        <f>SUM(I35)</f>
        <v>37.5</v>
      </c>
      <c r="J34" s="79"/>
      <c r="K34" s="81"/>
      <c r="L34" s="79"/>
      <c r="M34" s="81"/>
      <c r="N34" s="73">
        <f>+I34+K34+M34</f>
        <v>37.5</v>
      </c>
      <c r="O34" s="26">
        <f>+N34*E34</f>
        <v>1695</v>
      </c>
      <c r="P34" s="54"/>
      <c r="Q34" s="54"/>
      <c r="R34" s="75"/>
      <c r="S34" s="75">
        <f t="shared" ref="S34:S39" si="3">+I34*E34</f>
        <v>1695</v>
      </c>
      <c r="T34" s="75">
        <f t="shared" ref="T34:T39" si="4">+K34*E34</f>
        <v>0</v>
      </c>
      <c r="U34" s="75">
        <f t="shared" ref="U34:U39" si="5">+M34*E34</f>
        <v>0</v>
      </c>
      <c r="X34" s="77"/>
    </row>
    <row r="35" spans="1:24" s="76" customFormat="1" ht="36.75" customHeight="1">
      <c r="A35" s="24"/>
      <c r="B35" s="266"/>
      <c r="C35" s="96" t="s">
        <v>126</v>
      </c>
      <c r="D35" s="80"/>
      <c r="E35" s="51"/>
      <c r="F35" s="80" t="s">
        <v>29</v>
      </c>
      <c r="G35" s="27">
        <v>1</v>
      </c>
      <c r="H35" s="73">
        <v>37.5</v>
      </c>
      <c r="I35" s="73">
        <f>+H35*G35</f>
        <v>37.5</v>
      </c>
      <c r="J35" s="79"/>
      <c r="K35" s="81"/>
      <c r="L35" s="79"/>
      <c r="M35" s="81"/>
      <c r="N35" s="73"/>
      <c r="O35" s="26"/>
      <c r="P35" s="54"/>
      <c r="Q35" s="54"/>
      <c r="R35" s="75"/>
      <c r="S35" s="75">
        <f t="shared" si="3"/>
        <v>0</v>
      </c>
      <c r="T35" s="75">
        <f t="shared" si="4"/>
        <v>0</v>
      </c>
      <c r="U35" s="75">
        <f t="shared" si="5"/>
        <v>0</v>
      </c>
      <c r="X35" s="77"/>
    </row>
    <row r="36" spans="1:24" s="333" customFormat="1" ht="3.75" customHeight="1">
      <c r="A36" s="24"/>
      <c r="B36" s="25"/>
      <c r="C36" s="71"/>
      <c r="D36" s="72"/>
      <c r="E36" s="51"/>
      <c r="F36" s="72"/>
      <c r="G36" s="27"/>
      <c r="H36" s="73"/>
      <c r="I36" s="73"/>
      <c r="J36" s="79"/>
      <c r="K36" s="73"/>
      <c r="L36" s="79"/>
      <c r="M36" s="73"/>
      <c r="N36" s="73"/>
      <c r="O36" s="26"/>
      <c r="P36" s="88"/>
      <c r="S36" s="75">
        <f t="shared" si="3"/>
        <v>0</v>
      </c>
      <c r="T36" s="75">
        <f t="shared" si="4"/>
        <v>0</v>
      </c>
      <c r="U36" s="75">
        <f t="shared" si="5"/>
        <v>0</v>
      </c>
    </row>
    <row r="37" spans="1:24" s="76" customFormat="1" ht="55.5" customHeight="1">
      <c r="A37" s="24">
        <v>7</v>
      </c>
      <c r="B37" s="25" t="s">
        <v>69</v>
      </c>
      <c r="C37" s="71" t="s">
        <v>127</v>
      </c>
      <c r="D37" s="72" t="s">
        <v>29</v>
      </c>
      <c r="E37" s="55">
        <f>5*3.2-1.4*1.3</f>
        <v>14.18</v>
      </c>
      <c r="F37" s="80"/>
      <c r="G37" s="27"/>
      <c r="H37" s="73"/>
      <c r="I37" s="73">
        <f>SUM(I38)</f>
        <v>37.5</v>
      </c>
      <c r="J37" s="79"/>
      <c r="K37" s="81"/>
      <c r="L37" s="79"/>
      <c r="M37" s="81"/>
      <c r="N37" s="73">
        <f>+I37+K37+M37</f>
        <v>37.5</v>
      </c>
      <c r="O37" s="26">
        <f>+N37*E37</f>
        <v>531.75</v>
      </c>
      <c r="P37" s="54"/>
      <c r="Q37" s="54"/>
      <c r="R37" s="75"/>
      <c r="S37" s="75">
        <f t="shared" si="3"/>
        <v>531.75</v>
      </c>
      <c r="T37" s="75">
        <f t="shared" si="4"/>
        <v>0</v>
      </c>
      <c r="U37" s="75">
        <f t="shared" si="5"/>
        <v>0</v>
      </c>
      <c r="X37" s="77"/>
    </row>
    <row r="38" spans="1:24" s="76" customFormat="1" ht="36.75" customHeight="1">
      <c r="A38" s="24"/>
      <c r="B38" s="266"/>
      <c r="C38" s="96" t="s">
        <v>126</v>
      </c>
      <c r="D38" s="80"/>
      <c r="E38" s="51"/>
      <c r="F38" s="80" t="s">
        <v>29</v>
      </c>
      <c r="G38" s="27">
        <v>1</v>
      </c>
      <c r="H38" s="73">
        <v>37.5</v>
      </c>
      <c r="I38" s="73">
        <f>+H38*G38</f>
        <v>37.5</v>
      </c>
      <c r="J38" s="79"/>
      <c r="K38" s="81"/>
      <c r="L38" s="79"/>
      <c r="M38" s="81"/>
      <c r="N38" s="73"/>
      <c r="O38" s="26"/>
      <c r="P38" s="54"/>
      <c r="Q38" s="54"/>
      <c r="R38" s="75"/>
      <c r="S38" s="75">
        <f t="shared" si="3"/>
        <v>0</v>
      </c>
      <c r="T38" s="75">
        <f t="shared" si="4"/>
        <v>0</v>
      </c>
      <c r="U38" s="75">
        <f t="shared" si="5"/>
        <v>0</v>
      </c>
      <c r="X38" s="77"/>
    </row>
    <row r="39" spans="1:24" s="333" customFormat="1" ht="3.75" customHeight="1">
      <c r="A39" s="24"/>
      <c r="B39" s="25"/>
      <c r="C39" s="71"/>
      <c r="D39" s="72"/>
      <c r="E39" s="51"/>
      <c r="F39" s="72"/>
      <c r="G39" s="27"/>
      <c r="H39" s="73"/>
      <c r="I39" s="73"/>
      <c r="J39" s="79"/>
      <c r="K39" s="73"/>
      <c r="L39" s="79"/>
      <c r="M39" s="73"/>
      <c r="N39" s="73"/>
      <c r="O39" s="26"/>
      <c r="P39" s="88"/>
      <c r="S39" s="75">
        <f t="shared" si="3"/>
        <v>0</v>
      </c>
      <c r="T39" s="75">
        <f t="shared" si="4"/>
        <v>0</v>
      </c>
      <c r="U39" s="75">
        <f t="shared" si="5"/>
        <v>0</v>
      </c>
    </row>
    <row r="40" spans="1:24" s="76" customFormat="1" ht="51" customHeight="1">
      <c r="A40" s="24">
        <v>8</v>
      </c>
      <c r="B40" s="25" t="s">
        <v>69</v>
      </c>
      <c r="C40" s="71" t="s">
        <v>128</v>
      </c>
      <c r="D40" s="72" t="s">
        <v>29</v>
      </c>
      <c r="E40" s="55">
        <f>2.4*1.3</f>
        <v>3.12</v>
      </c>
      <c r="F40" s="80"/>
      <c r="G40" s="27"/>
      <c r="H40" s="73"/>
      <c r="I40" s="73">
        <f>SUM(I41)</f>
        <v>45.5</v>
      </c>
      <c r="J40" s="79"/>
      <c r="K40" s="81"/>
      <c r="L40" s="79"/>
      <c r="M40" s="81"/>
      <c r="N40" s="73">
        <f>+I40+K40+M40</f>
        <v>45.5</v>
      </c>
      <c r="O40" s="26">
        <f>+N40*E40</f>
        <v>141.96</v>
      </c>
      <c r="P40" s="54"/>
      <c r="Q40" s="54"/>
      <c r="R40" s="75"/>
      <c r="S40" s="75">
        <f t="shared" ref="S40:S46" si="6">+I40*E40</f>
        <v>141.96</v>
      </c>
      <c r="T40" s="75">
        <f t="shared" ref="T40:T46" si="7">+K40*E40</f>
        <v>0</v>
      </c>
      <c r="U40" s="75">
        <f t="shared" ref="U40:U46" si="8">+M40*E40</f>
        <v>0</v>
      </c>
      <c r="X40" s="77"/>
    </row>
    <row r="41" spans="1:24" s="76" customFormat="1" ht="36.75" customHeight="1">
      <c r="A41" s="24"/>
      <c r="B41" s="266"/>
      <c r="C41" s="96" t="s">
        <v>129</v>
      </c>
      <c r="D41" s="80"/>
      <c r="E41" s="51"/>
      <c r="F41" s="80" t="s">
        <v>29</v>
      </c>
      <c r="G41" s="27">
        <v>1</v>
      </c>
      <c r="H41" s="73">
        <v>45.5</v>
      </c>
      <c r="I41" s="73">
        <f>+H41*G41</f>
        <v>45.5</v>
      </c>
      <c r="J41" s="79"/>
      <c r="K41" s="81"/>
      <c r="L41" s="79"/>
      <c r="M41" s="81"/>
      <c r="N41" s="73"/>
      <c r="O41" s="26"/>
      <c r="P41" s="54"/>
      <c r="Q41" s="54"/>
      <c r="R41" s="75"/>
      <c r="S41" s="75">
        <f t="shared" si="6"/>
        <v>0</v>
      </c>
      <c r="T41" s="75">
        <f t="shared" si="7"/>
        <v>0</v>
      </c>
      <c r="U41" s="75">
        <f t="shared" si="8"/>
        <v>0</v>
      </c>
      <c r="X41" s="77"/>
    </row>
    <row r="42" spans="1:24" s="333" customFormat="1" ht="3.75" customHeight="1">
      <c r="A42" s="24"/>
      <c r="B42" s="25"/>
      <c r="C42" s="71"/>
      <c r="D42" s="72"/>
      <c r="E42" s="51"/>
      <c r="F42" s="72"/>
      <c r="G42" s="27"/>
      <c r="H42" s="73"/>
      <c r="I42" s="73"/>
      <c r="J42" s="79"/>
      <c r="K42" s="73"/>
      <c r="L42" s="79"/>
      <c r="M42" s="73"/>
      <c r="N42" s="73"/>
      <c r="O42" s="26"/>
      <c r="P42" s="88"/>
      <c r="S42" s="75">
        <f t="shared" si="6"/>
        <v>0</v>
      </c>
      <c r="T42" s="75">
        <f t="shared" si="7"/>
        <v>0</v>
      </c>
      <c r="U42" s="75">
        <f t="shared" si="8"/>
        <v>0</v>
      </c>
    </row>
    <row r="43" spans="1:24" s="76" customFormat="1" ht="39.75" customHeight="1">
      <c r="A43" s="24">
        <v>9</v>
      </c>
      <c r="B43" s="25" t="s">
        <v>130</v>
      </c>
      <c r="C43" s="71" t="s">
        <v>132</v>
      </c>
      <c r="D43" s="72" t="s">
        <v>131</v>
      </c>
      <c r="E43" s="55">
        <f>+E34+E37</f>
        <v>59.38</v>
      </c>
      <c r="F43" s="91"/>
      <c r="G43" s="92"/>
      <c r="H43" s="95"/>
      <c r="I43" s="73">
        <f>SUM(I44:I46)*R$1*U$1</f>
        <v>1.0072477889120917</v>
      </c>
      <c r="J43" s="79">
        <v>0.59</v>
      </c>
      <c r="K43" s="73">
        <f>+J43*S$1*V$1</f>
        <v>1.2085678</v>
      </c>
      <c r="L43" s="79">
        <v>0.03</v>
      </c>
      <c r="M43" s="73">
        <f>+L43*T$1*W$1</f>
        <v>9.2559000000000002E-2</v>
      </c>
      <c r="N43" s="73">
        <f>+M43+K43+I43</f>
        <v>2.3083745889120917</v>
      </c>
      <c r="O43" s="26">
        <f>+N43*E43</f>
        <v>137.0712830896</v>
      </c>
      <c r="P43" s="74"/>
      <c r="Q43" s="74"/>
      <c r="R43" s="75"/>
      <c r="S43" s="75">
        <f t="shared" si="6"/>
        <v>59.810373705600007</v>
      </c>
      <c r="T43" s="75">
        <f t="shared" si="7"/>
        <v>71.764755964000003</v>
      </c>
      <c r="U43" s="75">
        <f t="shared" si="8"/>
        <v>5.4961534200000006</v>
      </c>
      <c r="X43" s="77"/>
    </row>
    <row r="44" spans="1:24" s="76" customFormat="1" ht="24.75" customHeight="1">
      <c r="A44" s="24"/>
      <c r="B44" s="266"/>
      <c r="C44" s="78" t="s">
        <v>133</v>
      </c>
      <c r="D44" s="72"/>
      <c r="E44" s="99"/>
      <c r="F44" s="91" t="s">
        <v>27</v>
      </c>
      <c r="G44" s="27">
        <f>15.4/E43</f>
        <v>0.25934658134051869</v>
      </c>
      <c r="H44" s="73">
        <v>2.7450000000000001</v>
      </c>
      <c r="I44" s="73">
        <f>+H44*G44</f>
        <v>0.71190636577972388</v>
      </c>
      <c r="J44" s="79"/>
      <c r="K44" s="81"/>
      <c r="L44" s="79"/>
      <c r="M44" s="81"/>
      <c r="N44" s="73"/>
      <c r="O44" s="28"/>
      <c r="P44" s="74"/>
      <c r="Q44" s="74"/>
      <c r="R44" s="75"/>
      <c r="S44" s="75">
        <f t="shared" si="6"/>
        <v>0</v>
      </c>
      <c r="T44" s="75">
        <f t="shared" si="7"/>
        <v>0</v>
      </c>
      <c r="U44" s="75">
        <f t="shared" si="8"/>
        <v>0</v>
      </c>
      <c r="X44" s="77"/>
    </row>
    <row r="45" spans="1:24" s="89" customFormat="1" ht="14.25" customHeight="1">
      <c r="A45" s="53"/>
      <c r="B45" s="237"/>
      <c r="C45" s="78" t="s">
        <v>105</v>
      </c>
      <c r="D45" s="72"/>
      <c r="E45" s="305"/>
      <c r="F45" s="91" t="s">
        <v>18</v>
      </c>
      <c r="G45" s="52">
        <v>2.5000000000000001E-3</v>
      </c>
      <c r="H45" s="73">
        <v>31</v>
      </c>
      <c r="I45" s="73">
        <f>+H45*G45</f>
        <v>7.7499999999999999E-2</v>
      </c>
      <c r="J45" s="79"/>
      <c r="K45" s="81"/>
      <c r="L45" s="79"/>
      <c r="M45" s="81"/>
      <c r="N45" s="73"/>
      <c r="O45" s="28"/>
      <c r="P45" s="83"/>
      <c r="Q45" s="83"/>
      <c r="R45" s="82"/>
      <c r="S45" s="75">
        <f t="shared" si="6"/>
        <v>0</v>
      </c>
      <c r="T45" s="75">
        <f t="shared" si="7"/>
        <v>0</v>
      </c>
      <c r="U45" s="75">
        <f t="shared" si="8"/>
        <v>0</v>
      </c>
      <c r="V45" s="77"/>
      <c r="X45" s="90"/>
    </row>
    <row r="46" spans="1:24" s="89" customFormat="1" ht="12" customHeight="1">
      <c r="A46" s="53"/>
      <c r="B46" s="237"/>
      <c r="C46" s="78" t="s">
        <v>102</v>
      </c>
      <c r="D46" s="72"/>
      <c r="E46" s="305"/>
      <c r="F46" s="91" t="s">
        <v>26</v>
      </c>
      <c r="G46" s="27">
        <v>0.5</v>
      </c>
      <c r="H46" s="81">
        <v>0.15</v>
      </c>
      <c r="I46" s="73">
        <f>+H46*G46</f>
        <v>7.4999999999999997E-2</v>
      </c>
      <c r="J46" s="79"/>
      <c r="K46" s="81"/>
      <c r="L46" s="79"/>
      <c r="M46" s="81"/>
      <c r="N46" s="73"/>
      <c r="O46" s="28"/>
      <c r="P46" s="83"/>
      <c r="Q46" s="83"/>
      <c r="R46" s="82"/>
      <c r="S46" s="75">
        <f t="shared" si="6"/>
        <v>0</v>
      </c>
      <c r="T46" s="75">
        <f t="shared" si="7"/>
        <v>0</v>
      </c>
      <c r="U46" s="75">
        <f t="shared" si="8"/>
        <v>0</v>
      </c>
      <c r="V46" s="77"/>
      <c r="X46" s="90"/>
    </row>
    <row r="47" spans="1:24" s="76" customFormat="1" ht="3" customHeight="1">
      <c r="A47" s="24"/>
      <c r="B47" s="98"/>
      <c r="C47" s="78"/>
      <c r="D47" s="80"/>
      <c r="E47" s="52"/>
      <c r="F47" s="80"/>
      <c r="G47" s="27"/>
      <c r="H47" s="73"/>
      <c r="I47" s="73"/>
      <c r="J47" s="79"/>
      <c r="K47" s="81"/>
      <c r="L47" s="79"/>
      <c r="M47" s="81"/>
      <c r="N47" s="73"/>
      <c r="O47" s="28"/>
      <c r="P47" s="74"/>
      <c r="Q47" s="54"/>
      <c r="R47" s="75"/>
      <c r="S47" s="75"/>
      <c r="T47" s="75"/>
      <c r="U47" s="75"/>
      <c r="V47" s="82"/>
      <c r="X47" s="77"/>
    </row>
    <row r="48" spans="1:24" s="23" customFormat="1" ht="15.75" customHeight="1">
      <c r="A48" s="24"/>
      <c r="B48" s="308"/>
      <c r="C48" s="312" t="s">
        <v>86</v>
      </c>
      <c r="D48" s="313"/>
      <c r="E48" s="13"/>
      <c r="F48" s="292"/>
      <c r="G48" s="27"/>
      <c r="H48" s="73"/>
      <c r="I48" s="73"/>
      <c r="J48" s="73"/>
      <c r="K48" s="73"/>
      <c r="L48" s="73"/>
      <c r="M48" s="73"/>
      <c r="N48" s="73"/>
      <c r="O48" s="26">
        <f>SUM(O31:O47)</f>
        <v>2597.0619830896003</v>
      </c>
      <c r="P48" s="74"/>
      <c r="Q48" s="74"/>
      <c r="R48" s="75"/>
      <c r="S48" s="75">
        <f>+I48*E48</f>
        <v>0</v>
      </c>
      <c r="T48" s="75">
        <f>+K48*E48</f>
        <v>0</v>
      </c>
      <c r="U48" s="75">
        <f>+M48*E48</f>
        <v>0</v>
      </c>
      <c r="V48" s="76"/>
      <c r="W48" s="76"/>
      <c r="X48" s="77"/>
    </row>
    <row r="49" spans="1:24" s="23" customFormat="1" ht="18" customHeight="1">
      <c r="A49" s="24"/>
      <c r="B49" s="308"/>
      <c r="C49" s="312" t="s">
        <v>87</v>
      </c>
      <c r="D49" s="313"/>
      <c r="E49" s="13"/>
      <c r="F49" s="292"/>
      <c r="G49" s="27"/>
      <c r="H49" s="73"/>
      <c r="I49" s="73"/>
      <c r="J49" s="73"/>
      <c r="K49" s="73"/>
      <c r="L49" s="73"/>
      <c r="M49" s="73"/>
      <c r="N49" s="73"/>
      <c r="O49" s="314">
        <f>+O48/O$143</f>
        <v>0.51182613254905074</v>
      </c>
      <c r="P49" s="74"/>
      <c r="Q49" s="337"/>
      <c r="R49" s="75"/>
      <c r="S49" s="75">
        <f>+I49*E49</f>
        <v>0</v>
      </c>
      <c r="T49" s="75">
        <f>+K49*E49</f>
        <v>0</v>
      </c>
      <c r="U49" s="75">
        <f>+M49*E49</f>
        <v>0</v>
      </c>
      <c r="V49" s="76"/>
      <c r="W49" s="76"/>
      <c r="X49" s="77"/>
    </row>
    <row r="50" spans="1:24" s="235" customFormat="1" ht="40.5" customHeight="1">
      <c r="A50" s="24"/>
      <c r="B50" s="101"/>
      <c r="C50" s="359" t="s">
        <v>154</v>
      </c>
      <c r="D50" s="80"/>
      <c r="E50" s="13"/>
      <c r="F50" s="80"/>
      <c r="G50" s="27"/>
      <c r="H50" s="73"/>
      <c r="I50" s="73"/>
      <c r="J50" s="79"/>
      <c r="K50" s="236"/>
      <c r="L50" s="79"/>
      <c r="M50" s="73"/>
      <c r="N50" s="73"/>
      <c r="O50" s="26"/>
      <c r="P50" s="234"/>
      <c r="R50" s="75"/>
      <c r="S50" s="75"/>
      <c r="T50" s="75"/>
      <c r="U50" s="75"/>
    </row>
    <row r="51" spans="1:24" s="84" customFormat="1" ht="27.75" customHeight="1">
      <c r="A51" s="24">
        <v>10</v>
      </c>
      <c r="B51" s="25" t="s">
        <v>85</v>
      </c>
      <c r="C51" s="71" t="s">
        <v>137</v>
      </c>
      <c r="D51" s="73" t="s">
        <v>19</v>
      </c>
      <c r="E51" s="55">
        <v>0.47</v>
      </c>
      <c r="F51" s="73"/>
      <c r="G51" s="73"/>
      <c r="H51" s="73"/>
      <c r="I51" s="73"/>
      <c r="J51" s="79">
        <v>9</v>
      </c>
      <c r="K51" s="73">
        <f>+J51*S$1*V$1</f>
        <v>18.435780000000001</v>
      </c>
      <c r="L51" s="79">
        <v>0.2</v>
      </c>
      <c r="M51" s="73">
        <f>+L51*T$1*W$1</f>
        <v>0.61706000000000005</v>
      </c>
      <c r="N51" s="73">
        <f>+M51+K51+I51</f>
        <v>19.05284</v>
      </c>
      <c r="O51" s="26">
        <f>+N51*E51</f>
        <v>8.9548347999999987</v>
      </c>
      <c r="P51" s="83"/>
      <c r="Q51" s="83"/>
      <c r="R51" s="82"/>
      <c r="S51" s="75">
        <f>+I51*E51</f>
        <v>0</v>
      </c>
      <c r="T51" s="75">
        <f>+K51*E51</f>
        <v>8.6648166</v>
      </c>
      <c r="U51" s="75">
        <f>+M51*E51</f>
        <v>0.2900182</v>
      </c>
      <c r="X51" s="85"/>
    </row>
    <row r="52" spans="1:24" s="76" customFormat="1" ht="2.25" customHeight="1">
      <c r="A52" s="24"/>
      <c r="B52" s="98"/>
      <c r="C52" s="78"/>
      <c r="D52" s="80"/>
      <c r="E52" s="55"/>
      <c r="F52" s="80"/>
      <c r="G52" s="27"/>
      <c r="H52" s="73"/>
      <c r="I52" s="73"/>
      <c r="J52" s="79"/>
      <c r="K52" s="81"/>
      <c r="L52" s="79"/>
      <c r="M52" s="81"/>
      <c r="N52" s="73"/>
      <c r="O52" s="28"/>
      <c r="P52" s="74"/>
      <c r="Q52" s="54"/>
      <c r="R52" s="75"/>
      <c r="S52" s="75">
        <f>+I52*E52</f>
        <v>0</v>
      </c>
      <c r="T52" s="75">
        <f>+K52*E52</f>
        <v>0</v>
      </c>
      <c r="U52" s="75">
        <f>+M52*E52</f>
        <v>0</v>
      </c>
      <c r="V52" s="82"/>
      <c r="X52" s="77"/>
    </row>
    <row r="53" spans="1:24" s="89" customFormat="1" ht="26.25" customHeight="1">
      <c r="A53" s="24">
        <v>11</v>
      </c>
      <c r="B53" s="25" t="s">
        <v>141</v>
      </c>
      <c r="C53" s="71" t="s">
        <v>140</v>
      </c>
      <c r="D53" s="72" t="s">
        <v>19</v>
      </c>
      <c r="E53" s="55">
        <f>3.58-0.47-0.97</f>
        <v>2.1400000000000006</v>
      </c>
      <c r="F53" s="80"/>
      <c r="G53" s="27"/>
      <c r="H53" s="73"/>
      <c r="I53" s="73"/>
      <c r="J53" s="79">
        <v>9.8000000000000007</v>
      </c>
      <c r="K53" s="73">
        <f>+J53*S$1*V$1</f>
        <v>20.074516000000003</v>
      </c>
      <c r="L53" s="79"/>
      <c r="M53" s="73"/>
      <c r="N53" s="73">
        <f>+M53+K53+I53</f>
        <v>20.074516000000003</v>
      </c>
      <c r="O53" s="26">
        <f>+N53*E53</f>
        <v>42.959464240000017</v>
      </c>
      <c r="P53" s="88"/>
      <c r="Q53" s="230"/>
      <c r="R53" s="82"/>
      <c r="S53" s="82">
        <f>+I53*E53</f>
        <v>0</v>
      </c>
      <c r="T53" s="82">
        <f>+K53*E53</f>
        <v>42.959464240000017</v>
      </c>
      <c r="U53" s="82">
        <f>+M53*E53</f>
        <v>0</v>
      </c>
      <c r="X53" s="90"/>
    </row>
    <row r="54" spans="1:24" s="89" customFormat="1" ht="4.5" customHeight="1">
      <c r="A54" s="24"/>
      <c r="B54" s="25"/>
      <c r="C54" s="71"/>
      <c r="D54" s="72"/>
      <c r="E54" s="51"/>
      <c r="F54" s="80"/>
      <c r="G54" s="27"/>
      <c r="H54" s="73"/>
      <c r="I54" s="73"/>
      <c r="J54" s="79"/>
      <c r="K54" s="73"/>
      <c r="L54" s="79"/>
      <c r="M54" s="73"/>
      <c r="N54" s="73"/>
      <c r="O54" s="26"/>
      <c r="P54" s="88"/>
      <c r="Q54" s="230"/>
      <c r="R54" s="82"/>
      <c r="S54" s="82">
        <f>+I54*E54</f>
        <v>0</v>
      </c>
      <c r="T54" s="82">
        <f>+K54*E54</f>
        <v>0</v>
      </c>
      <c r="U54" s="82">
        <f>+M54*E54</f>
        <v>0</v>
      </c>
      <c r="X54" s="90"/>
    </row>
    <row r="55" spans="1:24" s="89" customFormat="1" ht="15.75" customHeight="1">
      <c r="A55" s="24">
        <v>12</v>
      </c>
      <c r="B55" s="25" t="s">
        <v>88</v>
      </c>
      <c r="C55" s="71" t="s">
        <v>134</v>
      </c>
      <c r="D55" s="72" t="s">
        <v>19</v>
      </c>
      <c r="E55" s="55">
        <v>0.27</v>
      </c>
      <c r="F55" s="80"/>
      <c r="G55" s="27"/>
      <c r="H55" s="73"/>
      <c r="I55" s="73">
        <f>SUM(I56)*R$1*U$1</f>
        <v>169.34937600000001</v>
      </c>
      <c r="J55" s="79">
        <v>72.98</v>
      </c>
      <c r="K55" s="238">
        <f>+J55*S$1*V$1</f>
        <v>149.49369160000001</v>
      </c>
      <c r="L55" s="79">
        <v>3.77</v>
      </c>
      <c r="M55" s="73">
        <f>+L55*T$1*W$1</f>
        <v>11.631581000000001</v>
      </c>
      <c r="N55" s="73">
        <f>+M55+K55+I55</f>
        <v>330.47464860000002</v>
      </c>
      <c r="O55" s="26">
        <f>+N55*E55</f>
        <v>89.228155122000018</v>
      </c>
      <c r="P55" s="88"/>
      <c r="Q55" s="230"/>
      <c r="R55" s="82"/>
      <c r="S55" s="75">
        <f t="shared" ref="S55:S60" si="9">+I55*E55</f>
        <v>45.724331520000007</v>
      </c>
      <c r="T55" s="75">
        <f t="shared" ref="T55:T60" si="10">+K55*E55</f>
        <v>40.363296732000002</v>
      </c>
      <c r="U55" s="75">
        <f t="shared" ref="U55:U60" si="11">+M55*E55</f>
        <v>3.1405268700000004</v>
      </c>
      <c r="X55" s="90"/>
    </row>
    <row r="56" spans="1:24" s="89" customFormat="1" ht="12.75" customHeight="1">
      <c r="A56" s="53"/>
      <c r="B56" s="237"/>
      <c r="C56" s="78" t="s">
        <v>135</v>
      </c>
      <c r="D56" s="97"/>
      <c r="E56" s="52"/>
      <c r="F56" s="80" t="s">
        <v>89</v>
      </c>
      <c r="G56" s="27">
        <v>2.1800000000000002</v>
      </c>
      <c r="H56" s="73">
        <f>80/(1.2)</f>
        <v>66.666666666666671</v>
      </c>
      <c r="I56" s="73">
        <f>+H56*G56</f>
        <v>145.33333333333334</v>
      </c>
      <c r="J56" s="79"/>
      <c r="K56" s="238"/>
      <c r="L56" s="79"/>
      <c r="M56" s="81"/>
      <c r="N56" s="73"/>
      <c r="O56" s="28"/>
      <c r="P56" s="88"/>
      <c r="Q56" s="52"/>
      <c r="R56" s="82"/>
      <c r="S56" s="75">
        <f t="shared" si="9"/>
        <v>0</v>
      </c>
      <c r="T56" s="75">
        <f t="shared" si="10"/>
        <v>0</v>
      </c>
      <c r="U56" s="75">
        <f t="shared" si="11"/>
        <v>0</v>
      </c>
      <c r="X56" s="90"/>
    </row>
    <row r="57" spans="1:24" s="89" customFormat="1" ht="3.75" customHeight="1">
      <c r="A57" s="53"/>
      <c r="B57" s="237"/>
      <c r="C57" s="93"/>
      <c r="D57" s="97"/>
      <c r="E57" s="52"/>
      <c r="F57" s="80"/>
      <c r="G57" s="27"/>
      <c r="H57" s="73"/>
      <c r="I57" s="73"/>
      <c r="J57" s="79"/>
      <c r="K57" s="238"/>
      <c r="L57" s="79"/>
      <c r="M57" s="81"/>
      <c r="N57" s="73"/>
      <c r="O57" s="28"/>
      <c r="P57" s="88"/>
      <c r="Q57" s="52"/>
      <c r="R57" s="82"/>
      <c r="S57" s="75">
        <f t="shared" si="9"/>
        <v>0</v>
      </c>
      <c r="T57" s="75">
        <f t="shared" si="10"/>
        <v>0</v>
      </c>
      <c r="U57" s="75">
        <f t="shared" si="11"/>
        <v>0</v>
      </c>
      <c r="X57" s="90"/>
    </row>
    <row r="58" spans="1:24" s="323" customFormat="1" ht="14.25" customHeight="1">
      <c r="A58" s="307">
        <v>13</v>
      </c>
      <c r="B58" s="308" t="s">
        <v>95</v>
      </c>
      <c r="C58" s="315" t="s">
        <v>136</v>
      </c>
      <c r="D58" s="309" t="s">
        <v>19</v>
      </c>
      <c r="E58" s="310">
        <v>0.13</v>
      </c>
      <c r="F58" s="317"/>
      <c r="G58" s="318"/>
      <c r="H58" s="319"/>
      <c r="I58" s="319">
        <f>SUM(I59)*R$1*U$1</f>
        <v>389.96966400000002</v>
      </c>
      <c r="J58" s="320">
        <v>119.89</v>
      </c>
      <c r="K58" s="336">
        <f>+J58*S$1*V$1</f>
        <v>245.5850738</v>
      </c>
      <c r="L58" s="320">
        <v>9.58</v>
      </c>
      <c r="M58" s="319">
        <f>+L58*T$1*W$1</f>
        <v>29.557174000000003</v>
      </c>
      <c r="N58" s="319">
        <f>+M58+K58+I58</f>
        <v>665.11191180000003</v>
      </c>
      <c r="O58" s="321">
        <f>+N58*E58</f>
        <v>86.464548534000002</v>
      </c>
      <c r="P58" s="289"/>
      <c r="Q58" s="289"/>
      <c r="R58" s="322"/>
      <c r="S58" s="75">
        <f t="shared" si="9"/>
        <v>50.696056320000004</v>
      </c>
      <c r="T58" s="75">
        <f t="shared" si="10"/>
        <v>31.926059594000002</v>
      </c>
      <c r="U58" s="75">
        <f t="shared" si="11"/>
        <v>3.8424326200000007</v>
      </c>
      <c r="X58" s="324"/>
    </row>
    <row r="59" spans="1:24" s="323" customFormat="1">
      <c r="A59" s="325"/>
      <c r="B59" s="326"/>
      <c r="C59" s="78" t="s">
        <v>135</v>
      </c>
      <c r="D59" s="328"/>
      <c r="E59" s="329"/>
      <c r="F59" s="317" t="s">
        <v>89</v>
      </c>
      <c r="G59" s="318">
        <v>5.0199999999999996</v>
      </c>
      <c r="H59" s="73">
        <f>80/(1.2)</f>
        <v>66.666666666666671</v>
      </c>
      <c r="I59" s="319">
        <f>+H59*G59</f>
        <v>334.66666666666669</v>
      </c>
      <c r="J59" s="320"/>
      <c r="K59" s="330"/>
      <c r="L59" s="320"/>
      <c r="M59" s="330"/>
      <c r="N59" s="319"/>
      <c r="O59" s="331"/>
      <c r="P59" s="289"/>
      <c r="Q59" s="289"/>
      <c r="R59" s="322"/>
      <c r="S59" s="75">
        <f t="shared" si="9"/>
        <v>0</v>
      </c>
      <c r="T59" s="75">
        <f t="shared" si="10"/>
        <v>0</v>
      </c>
      <c r="U59" s="75">
        <f t="shared" si="11"/>
        <v>0</v>
      </c>
      <c r="X59" s="324"/>
    </row>
    <row r="60" spans="1:24" s="323" customFormat="1" ht="3" customHeight="1">
      <c r="A60" s="325"/>
      <c r="B60" s="326"/>
      <c r="C60" s="334"/>
      <c r="D60" s="328"/>
      <c r="E60" s="329"/>
      <c r="F60" s="317"/>
      <c r="G60" s="318"/>
      <c r="H60" s="319"/>
      <c r="I60" s="319"/>
      <c r="J60" s="320"/>
      <c r="K60" s="330"/>
      <c r="L60" s="320"/>
      <c r="M60" s="330"/>
      <c r="N60" s="319"/>
      <c r="O60" s="331"/>
      <c r="P60" s="289"/>
      <c r="Q60" s="289"/>
      <c r="R60" s="322"/>
      <c r="S60" s="75">
        <f t="shared" si="9"/>
        <v>0</v>
      </c>
      <c r="T60" s="75">
        <f t="shared" si="10"/>
        <v>0</v>
      </c>
      <c r="U60" s="75">
        <f t="shared" si="11"/>
        <v>0</v>
      </c>
      <c r="X60" s="324"/>
    </row>
    <row r="61" spans="1:24" s="89" customFormat="1" ht="26.25" customHeight="1">
      <c r="A61" s="24">
        <v>14</v>
      </c>
      <c r="B61" s="25" t="s">
        <v>101</v>
      </c>
      <c r="C61" s="71" t="s">
        <v>138</v>
      </c>
      <c r="D61" s="72" t="s">
        <v>19</v>
      </c>
      <c r="E61" s="55">
        <v>7.0000000000000007E-2</v>
      </c>
      <c r="F61" s="80"/>
      <c r="G61" s="27"/>
      <c r="H61" s="73"/>
      <c r="I61" s="73">
        <f>SUM(I62)*R$1*U$1</f>
        <v>217.51295999999999</v>
      </c>
      <c r="J61" s="79">
        <v>77.150000000000006</v>
      </c>
      <c r="K61" s="238">
        <f>+J61*S$1*V$1</f>
        <v>158.03560300000001</v>
      </c>
      <c r="L61" s="79">
        <v>3.79</v>
      </c>
      <c r="M61" s="73">
        <f>+L61*T$1*W$1</f>
        <v>11.693287000000002</v>
      </c>
      <c r="N61" s="73">
        <f>+M61+K61+I61</f>
        <v>387.24185</v>
      </c>
      <c r="O61" s="26">
        <f>+N61*E61</f>
        <v>27.106929500000003</v>
      </c>
      <c r="P61" s="88"/>
      <c r="Q61" s="230"/>
      <c r="R61" s="82"/>
      <c r="S61" s="75">
        <f t="shared" ref="S61:S75" si="12">+I61*E61</f>
        <v>15.225907200000002</v>
      </c>
      <c r="T61" s="75">
        <f t="shared" ref="T61:T75" si="13">+K61*E61</f>
        <v>11.062492210000002</v>
      </c>
      <c r="U61" s="75">
        <f t="shared" ref="U61:U75" si="14">+M61*E61</f>
        <v>0.81853009000000021</v>
      </c>
      <c r="X61" s="90"/>
    </row>
    <row r="62" spans="1:24" s="89" customFormat="1" ht="12.75" customHeight="1">
      <c r="A62" s="53"/>
      <c r="B62" s="237"/>
      <c r="C62" s="78" t="s">
        <v>135</v>
      </c>
      <c r="D62" s="97"/>
      <c r="E62" s="52"/>
      <c r="F62" s="80" t="s">
        <v>89</v>
      </c>
      <c r="G62" s="27">
        <v>2.8</v>
      </c>
      <c r="H62" s="73">
        <f>80/(1.2)</f>
        <v>66.666666666666671</v>
      </c>
      <c r="I62" s="73">
        <f>+H62*G62</f>
        <v>186.66666666666666</v>
      </c>
      <c r="J62" s="79"/>
      <c r="K62" s="238"/>
      <c r="L62" s="79"/>
      <c r="M62" s="81"/>
      <c r="N62" s="73"/>
      <c r="O62" s="28"/>
      <c r="P62" s="88"/>
      <c r="Q62" s="52"/>
      <c r="R62" s="82"/>
      <c r="S62" s="75">
        <f t="shared" si="12"/>
        <v>0</v>
      </c>
      <c r="T62" s="75">
        <f t="shared" si="13"/>
        <v>0</v>
      </c>
      <c r="U62" s="75">
        <f t="shared" si="14"/>
        <v>0</v>
      </c>
      <c r="X62" s="90"/>
    </row>
    <row r="63" spans="1:24" s="89" customFormat="1" ht="3" customHeight="1">
      <c r="A63" s="53"/>
      <c r="B63" s="237"/>
      <c r="C63" s="93"/>
      <c r="D63" s="97"/>
      <c r="E63" s="52"/>
      <c r="F63" s="80"/>
      <c r="G63" s="27"/>
      <c r="H63" s="73"/>
      <c r="I63" s="73"/>
      <c r="J63" s="79"/>
      <c r="K63" s="238"/>
      <c r="L63" s="79"/>
      <c r="M63" s="81"/>
      <c r="N63" s="73"/>
      <c r="O63" s="28"/>
      <c r="P63" s="88"/>
      <c r="Q63" s="52"/>
      <c r="R63" s="82"/>
      <c r="S63" s="75">
        <f t="shared" si="12"/>
        <v>0</v>
      </c>
      <c r="T63" s="75">
        <f t="shared" si="13"/>
        <v>0</v>
      </c>
      <c r="U63" s="75">
        <f t="shared" si="14"/>
        <v>0</v>
      </c>
      <c r="X63" s="90"/>
    </row>
    <row r="64" spans="1:24" s="323" customFormat="1">
      <c r="A64" s="307">
        <v>15</v>
      </c>
      <c r="B64" s="308" t="s">
        <v>96</v>
      </c>
      <c r="C64" s="315" t="s">
        <v>97</v>
      </c>
      <c r="D64" s="309" t="s">
        <v>19</v>
      </c>
      <c r="E64" s="310">
        <f>2.87-0.97</f>
        <v>1.9000000000000001</v>
      </c>
      <c r="F64" s="317"/>
      <c r="G64" s="318"/>
      <c r="H64" s="319"/>
      <c r="I64" s="319">
        <f>SUM(I65:I66)*R$1*U$1</f>
        <v>113.44271904000001</v>
      </c>
      <c r="J64" s="320">
        <v>39.700000000000003</v>
      </c>
      <c r="K64" s="319">
        <f>+J64*S$1*V$1</f>
        <v>81.322274000000007</v>
      </c>
      <c r="L64" s="320">
        <v>1</v>
      </c>
      <c r="M64" s="319">
        <f>+L64*T$1*W$1</f>
        <v>3.0853000000000002</v>
      </c>
      <c r="N64" s="319">
        <f>+M64+K64+I64</f>
        <v>197.85029304000003</v>
      </c>
      <c r="O64" s="321">
        <f>+N64*E64</f>
        <v>375.91555677600007</v>
      </c>
      <c r="P64" s="289"/>
      <c r="Q64" s="289"/>
      <c r="R64" s="322"/>
      <c r="S64" s="75">
        <f t="shared" si="12"/>
        <v>215.54116617600005</v>
      </c>
      <c r="T64" s="75">
        <f t="shared" si="13"/>
        <v>154.51232060000004</v>
      </c>
      <c r="U64" s="75">
        <f t="shared" si="14"/>
        <v>5.862070000000001</v>
      </c>
      <c r="X64" s="324"/>
    </row>
    <row r="65" spans="1:24" s="323" customFormat="1">
      <c r="A65" s="325"/>
      <c r="B65" s="326"/>
      <c r="C65" s="327" t="s">
        <v>98</v>
      </c>
      <c r="D65" s="328"/>
      <c r="E65" s="329"/>
      <c r="F65" s="317" t="s">
        <v>26</v>
      </c>
      <c r="G65" s="318">
        <v>63</v>
      </c>
      <c r="H65" s="330">
        <v>1.333</v>
      </c>
      <c r="I65" s="319">
        <f>+H65*G65</f>
        <v>83.978999999999999</v>
      </c>
      <c r="J65" s="320"/>
      <c r="K65" s="330"/>
      <c r="L65" s="320"/>
      <c r="M65" s="330"/>
      <c r="N65" s="319"/>
      <c r="O65" s="331"/>
      <c r="P65" s="289"/>
      <c r="Q65" s="289"/>
      <c r="R65" s="322"/>
      <c r="S65" s="75">
        <f t="shared" si="12"/>
        <v>0</v>
      </c>
      <c r="T65" s="75">
        <f t="shared" si="13"/>
        <v>0</v>
      </c>
      <c r="U65" s="75">
        <f t="shared" si="14"/>
        <v>0</v>
      </c>
      <c r="X65" s="324"/>
    </row>
    <row r="66" spans="1:24" s="323" customFormat="1">
      <c r="A66" s="325"/>
      <c r="B66" s="326"/>
      <c r="C66" s="327" t="s">
        <v>99</v>
      </c>
      <c r="D66" s="328"/>
      <c r="E66" s="329"/>
      <c r="F66" s="317" t="s">
        <v>26</v>
      </c>
      <c r="G66" s="318">
        <v>76</v>
      </c>
      <c r="H66" s="81">
        <v>0.17599999999999999</v>
      </c>
      <c r="I66" s="319">
        <f>+H66*G66</f>
        <v>13.375999999999999</v>
      </c>
      <c r="J66" s="320"/>
      <c r="K66" s="330"/>
      <c r="L66" s="320"/>
      <c r="M66" s="330"/>
      <c r="N66" s="319"/>
      <c r="O66" s="331"/>
      <c r="P66" s="289"/>
      <c r="Q66" s="289"/>
      <c r="R66" s="322"/>
      <c r="S66" s="75">
        <f t="shared" si="12"/>
        <v>0</v>
      </c>
      <c r="T66" s="75">
        <f t="shared" si="13"/>
        <v>0</v>
      </c>
      <c r="U66" s="75">
        <f t="shared" si="14"/>
        <v>0</v>
      </c>
      <c r="X66" s="324"/>
    </row>
    <row r="67" spans="1:24" s="323" customFormat="1" ht="3" customHeight="1">
      <c r="A67" s="325"/>
      <c r="B67" s="326"/>
      <c r="C67" s="332"/>
      <c r="D67" s="328"/>
      <c r="E67" s="329"/>
      <c r="F67" s="317"/>
      <c r="G67" s="318"/>
      <c r="H67" s="319"/>
      <c r="I67" s="319"/>
      <c r="J67" s="320"/>
      <c r="K67" s="330"/>
      <c r="L67" s="320"/>
      <c r="M67" s="330"/>
      <c r="N67" s="319"/>
      <c r="O67" s="331"/>
      <c r="P67" s="289"/>
      <c r="Q67" s="289"/>
      <c r="R67" s="322"/>
      <c r="S67" s="75">
        <f t="shared" si="12"/>
        <v>0</v>
      </c>
      <c r="T67" s="75">
        <f t="shared" si="13"/>
        <v>0</v>
      </c>
      <c r="U67" s="75">
        <f t="shared" si="14"/>
        <v>0</v>
      </c>
      <c r="X67" s="324"/>
    </row>
    <row r="68" spans="1:24" s="76" customFormat="1" ht="27" customHeight="1">
      <c r="A68" s="24">
        <v>16</v>
      </c>
      <c r="B68" s="25" t="s">
        <v>142</v>
      </c>
      <c r="C68" s="71" t="s">
        <v>143</v>
      </c>
      <c r="D68" s="72" t="s">
        <v>19</v>
      </c>
      <c r="E68" s="55">
        <v>0.97</v>
      </c>
      <c r="F68" s="80"/>
      <c r="G68" s="27"/>
      <c r="H68" s="73"/>
      <c r="I68" s="73">
        <f>SUM(I69:I71)*R$1*U$1</f>
        <v>52.073068723200002</v>
      </c>
      <c r="J68" s="79">
        <v>41.1</v>
      </c>
      <c r="K68" s="73">
        <f>+J68*S$1*V$1</f>
        <v>84.190062000000012</v>
      </c>
      <c r="L68" s="79">
        <v>0.27</v>
      </c>
      <c r="M68" s="73">
        <f>+L68*T$1*W$1</f>
        <v>0.83303100000000008</v>
      </c>
      <c r="N68" s="73">
        <f>+M68+K68+I68</f>
        <v>137.09616172320003</v>
      </c>
      <c r="O68" s="26">
        <f>+N68*E68</f>
        <v>132.98327687150402</v>
      </c>
      <c r="P68" s="54"/>
      <c r="Q68" s="54"/>
      <c r="R68" s="75"/>
      <c r="S68" s="82">
        <f t="shared" si="12"/>
        <v>50.510876661504</v>
      </c>
      <c r="T68" s="82">
        <f t="shared" si="13"/>
        <v>81.664360140000014</v>
      </c>
      <c r="U68" s="82">
        <f t="shared" si="14"/>
        <v>0.80804007</v>
      </c>
      <c r="X68" s="77"/>
    </row>
    <row r="69" spans="1:24" s="76" customFormat="1" ht="12.75" customHeight="1">
      <c r="A69" s="24"/>
      <c r="B69" s="98"/>
      <c r="C69" s="78" t="s">
        <v>77</v>
      </c>
      <c r="D69" s="80"/>
      <c r="E69" s="52"/>
      <c r="F69" s="80" t="s">
        <v>26</v>
      </c>
      <c r="G69" s="27">
        <v>18.100000000000001</v>
      </c>
      <c r="H69" s="81">
        <v>1.2</v>
      </c>
      <c r="I69" s="73">
        <f>+H69*G69</f>
        <v>21.720000000000002</v>
      </c>
      <c r="J69" s="79"/>
      <c r="K69" s="81"/>
      <c r="L69" s="79"/>
      <c r="M69" s="81"/>
      <c r="N69" s="73"/>
      <c r="O69" s="28"/>
      <c r="P69" s="54"/>
      <c r="Q69" s="54"/>
      <c r="R69" s="75"/>
      <c r="S69" s="82">
        <f t="shared" si="12"/>
        <v>0</v>
      </c>
      <c r="T69" s="82">
        <f t="shared" si="13"/>
        <v>0</v>
      </c>
      <c r="U69" s="82">
        <f t="shared" si="14"/>
        <v>0</v>
      </c>
      <c r="X69" s="77"/>
    </row>
    <row r="70" spans="1:24" s="76" customFormat="1" ht="12.75" customHeight="1">
      <c r="A70" s="24"/>
      <c r="B70" s="98"/>
      <c r="C70" s="78" t="s">
        <v>99</v>
      </c>
      <c r="D70" s="80"/>
      <c r="E70" s="52"/>
      <c r="F70" s="80" t="s">
        <v>26</v>
      </c>
      <c r="G70" s="27">
        <v>24.2</v>
      </c>
      <c r="H70" s="81">
        <v>0.28199999999999997</v>
      </c>
      <c r="I70" s="73">
        <f>+H70*G70</f>
        <v>6.8243999999999989</v>
      </c>
      <c r="J70" s="79"/>
      <c r="K70" s="81"/>
      <c r="L70" s="79"/>
      <c r="M70" s="81"/>
      <c r="N70" s="73"/>
      <c r="O70" s="28"/>
      <c r="P70" s="54"/>
      <c r="Q70" s="54"/>
      <c r="R70" s="75"/>
      <c r="S70" s="82">
        <f t="shared" si="12"/>
        <v>0</v>
      </c>
      <c r="T70" s="82">
        <f t="shared" si="13"/>
        <v>0</v>
      </c>
      <c r="U70" s="82">
        <f t="shared" si="14"/>
        <v>0</v>
      </c>
      <c r="X70" s="77"/>
    </row>
    <row r="71" spans="1:24" s="76" customFormat="1" ht="12.75" customHeight="1">
      <c r="A71" s="24"/>
      <c r="B71" s="98"/>
      <c r="C71" s="78" t="s">
        <v>76</v>
      </c>
      <c r="D71" s="80"/>
      <c r="E71" s="52"/>
      <c r="F71" s="80" t="s">
        <v>26</v>
      </c>
      <c r="G71" s="27">
        <v>16</v>
      </c>
      <c r="H71" s="81">
        <v>1.0089999999999999</v>
      </c>
      <c r="I71" s="73">
        <f>+H71*G71</f>
        <v>16.143999999999998</v>
      </c>
      <c r="J71" s="79"/>
      <c r="K71" s="81"/>
      <c r="L71" s="79"/>
      <c r="M71" s="81"/>
      <c r="N71" s="73"/>
      <c r="O71" s="28"/>
      <c r="P71" s="54"/>
      <c r="Q71" s="54"/>
      <c r="R71" s="75"/>
      <c r="S71" s="82">
        <f t="shared" si="12"/>
        <v>0</v>
      </c>
      <c r="T71" s="82">
        <f t="shared" si="13"/>
        <v>0</v>
      </c>
      <c r="U71" s="82">
        <f t="shared" si="14"/>
        <v>0</v>
      </c>
      <c r="X71" s="77"/>
    </row>
    <row r="72" spans="1:24" s="76" customFormat="1" ht="3.75" customHeight="1">
      <c r="A72" s="24"/>
      <c r="B72" s="98"/>
      <c r="C72" s="100"/>
      <c r="D72" s="80"/>
      <c r="E72" s="99"/>
      <c r="F72" s="80"/>
      <c r="G72" s="27"/>
      <c r="H72" s="73"/>
      <c r="I72" s="81"/>
      <c r="J72" s="79"/>
      <c r="K72" s="81"/>
      <c r="L72" s="79"/>
      <c r="M72" s="81"/>
      <c r="N72" s="73"/>
      <c r="O72" s="28"/>
      <c r="P72" s="54"/>
      <c r="Q72" s="54"/>
      <c r="R72" s="75"/>
      <c r="S72" s="82">
        <f t="shared" si="12"/>
        <v>0</v>
      </c>
      <c r="T72" s="82">
        <f t="shared" si="13"/>
        <v>0</v>
      </c>
      <c r="U72" s="82">
        <f t="shared" si="14"/>
        <v>0</v>
      </c>
      <c r="X72" s="77"/>
    </row>
    <row r="73" spans="1:24" s="76" customFormat="1" ht="27" customHeight="1">
      <c r="A73" s="24">
        <v>17</v>
      </c>
      <c r="B73" s="25" t="s">
        <v>103</v>
      </c>
      <c r="C73" s="71" t="s">
        <v>139</v>
      </c>
      <c r="D73" s="72" t="s">
        <v>19</v>
      </c>
      <c r="E73" s="55">
        <v>0.71</v>
      </c>
      <c r="F73" s="80"/>
      <c r="G73" s="27"/>
      <c r="H73" s="73"/>
      <c r="I73" s="73">
        <f>SUM(I74:I75)*R$1*U$1</f>
        <v>116.72405740799999</v>
      </c>
      <c r="J73" s="79">
        <f>51.4</f>
        <v>51.4</v>
      </c>
      <c r="K73" s="238">
        <f>+J73*S$1*V$1</f>
        <v>105.288788</v>
      </c>
      <c r="L73" s="79">
        <v>1.2</v>
      </c>
      <c r="M73" s="73">
        <f>+L73*T$1*W$1</f>
        <v>3.7023600000000001</v>
      </c>
      <c r="N73" s="73">
        <f>+M73+K73+I73</f>
        <v>225.71520540799997</v>
      </c>
      <c r="O73" s="26">
        <f>+N73*E73</f>
        <v>160.25779583967997</v>
      </c>
      <c r="P73" s="54"/>
      <c r="Q73" s="230"/>
      <c r="R73" s="75"/>
      <c r="S73" s="75">
        <f t="shared" si="12"/>
        <v>82.874080759679984</v>
      </c>
      <c r="T73" s="75">
        <f t="shared" si="13"/>
        <v>74.755039479999994</v>
      </c>
      <c r="U73" s="75">
        <f t="shared" si="14"/>
        <v>2.6286755999999998</v>
      </c>
      <c r="X73" s="77"/>
    </row>
    <row r="74" spans="1:24" s="76" customFormat="1" ht="12.75" customHeight="1">
      <c r="A74" s="24"/>
      <c r="B74" s="98"/>
      <c r="C74" s="78" t="s">
        <v>98</v>
      </c>
      <c r="D74" s="80"/>
      <c r="E74" s="52"/>
      <c r="F74" s="80" t="s">
        <v>26</v>
      </c>
      <c r="G74" s="318">
        <v>63</v>
      </c>
      <c r="H74" s="81">
        <v>1.333</v>
      </c>
      <c r="I74" s="73">
        <f>+H74*G74</f>
        <v>83.978999999999999</v>
      </c>
      <c r="J74" s="79"/>
      <c r="K74" s="81"/>
      <c r="L74" s="79"/>
      <c r="M74" s="81"/>
      <c r="N74" s="73"/>
      <c r="O74" s="28"/>
      <c r="P74" s="54"/>
      <c r="Q74" s="52"/>
      <c r="R74" s="75"/>
      <c r="S74" s="75">
        <f t="shared" si="12"/>
        <v>0</v>
      </c>
      <c r="T74" s="75">
        <f t="shared" si="13"/>
        <v>0</v>
      </c>
      <c r="U74" s="75">
        <f t="shared" si="14"/>
        <v>0</v>
      </c>
      <c r="X74" s="77"/>
    </row>
    <row r="75" spans="1:24" s="76" customFormat="1" ht="12.75" customHeight="1">
      <c r="A75" s="24"/>
      <c r="B75" s="98"/>
      <c r="C75" s="78" t="s">
        <v>99</v>
      </c>
      <c r="D75" s="80"/>
      <c r="E75" s="52"/>
      <c r="F75" s="80" t="s">
        <v>26</v>
      </c>
      <c r="G75" s="318">
        <v>92</v>
      </c>
      <c r="H75" s="81">
        <v>0.17599999999999999</v>
      </c>
      <c r="I75" s="73">
        <f>+H75*G75</f>
        <v>16.192</v>
      </c>
      <c r="J75" s="79"/>
      <c r="K75" s="81"/>
      <c r="L75" s="79"/>
      <c r="M75" s="81"/>
      <c r="N75" s="73"/>
      <c r="O75" s="28"/>
      <c r="P75" s="54"/>
      <c r="Q75" s="52"/>
      <c r="R75" s="75"/>
      <c r="S75" s="75">
        <f t="shared" si="12"/>
        <v>0</v>
      </c>
      <c r="T75" s="75">
        <f t="shared" si="13"/>
        <v>0</v>
      </c>
      <c r="U75" s="75">
        <f t="shared" si="14"/>
        <v>0</v>
      </c>
      <c r="X75" s="77"/>
    </row>
    <row r="76" spans="1:24" s="76" customFormat="1" ht="2.25" customHeight="1">
      <c r="A76" s="24"/>
      <c r="B76" s="98"/>
      <c r="C76" s="78"/>
      <c r="D76" s="80"/>
      <c r="E76" s="52"/>
      <c r="F76" s="80"/>
      <c r="G76" s="27"/>
      <c r="H76" s="73"/>
      <c r="I76" s="73"/>
      <c r="J76" s="79"/>
      <c r="K76" s="81"/>
      <c r="L76" s="79"/>
      <c r="M76" s="81"/>
      <c r="N76" s="73"/>
      <c r="O76" s="28"/>
      <c r="P76" s="74"/>
      <c r="Q76" s="54"/>
      <c r="R76" s="75"/>
      <c r="S76" s="75"/>
      <c r="T76" s="75"/>
      <c r="U76" s="75"/>
      <c r="V76" s="82"/>
      <c r="X76" s="77"/>
    </row>
    <row r="77" spans="1:24" s="323" customFormat="1" ht="24" customHeight="1">
      <c r="A77" s="307">
        <v>18</v>
      </c>
      <c r="B77" s="308" t="s">
        <v>90</v>
      </c>
      <c r="C77" s="315" t="s">
        <v>91</v>
      </c>
      <c r="D77" s="309" t="s">
        <v>94</v>
      </c>
      <c r="E77" s="316">
        <f>39.8*3.8/100</f>
        <v>1.5123999999999997</v>
      </c>
      <c r="F77" s="317"/>
      <c r="G77" s="318"/>
      <c r="H77" s="319"/>
      <c r="I77" s="319">
        <f>SUM(I78:I80)*R$1*U$1</f>
        <v>43.747776104256005</v>
      </c>
      <c r="J77" s="320">
        <v>25.5</v>
      </c>
      <c r="K77" s="319">
        <f>+J77*S$1*V$1</f>
        <v>52.234710000000007</v>
      </c>
      <c r="L77" s="320">
        <v>0.23</v>
      </c>
      <c r="M77" s="319">
        <f>+L77*T$1*W$1</f>
        <v>0.70961900000000011</v>
      </c>
      <c r="N77" s="319">
        <f>+M77+K77+I77</f>
        <v>96.692105104256015</v>
      </c>
      <c r="O77" s="321">
        <f>+N77*E77</f>
        <v>146.23713975967678</v>
      </c>
      <c r="P77" s="289"/>
      <c r="Q77" s="289"/>
      <c r="R77" s="322"/>
      <c r="S77" s="75">
        <f t="shared" ref="S77:S83" si="15">+I77*E77</f>
        <v>66.164136580076772</v>
      </c>
      <c r="T77" s="75">
        <f t="shared" ref="T77:T83" si="16">+K77*E77</f>
        <v>78.99977540399999</v>
      </c>
      <c r="U77" s="75">
        <f t="shared" ref="U77:U83" si="17">+M77*E77</f>
        <v>1.0732277755999999</v>
      </c>
      <c r="X77" s="324"/>
    </row>
    <row r="78" spans="1:24" s="323" customFormat="1" ht="12.75" customHeight="1">
      <c r="A78" s="325"/>
      <c r="B78" s="326"/>
      <c r="C78" s="327" t="s">
        <v>92</v>
      </c>
      <c r="D78" s="328"/>
      <c r="E78" s="329"/>
      <c r="F78" s="317" t="s">
        <v>17</v>
      </c>
      <c r="G78" s="318">
        <v>3.5000000000000003E-2</v>
      </c>
      <c r="H78" s="330">
        <v>700</v>
      </c>
      <c r="I78" s="319">
        <f>+H78*G78</f>
        <v>24.500000000000004</v>
      </c>
      <c r="J78" s="320"/>
      <c r="K78" s="330"/>
      <c r="L78" s="320"/>
      <c r="M78" s="330"/>
      <c r="N78" s="319"/>
      <c r="O78" s="331"/>
      <c r="P78" s="289"/>
      <c r="Q78" s="289"/>
      <c r="R78" s="322"/>
      <c r="S78" s="75">
        <f t="shared" si="15"/>
        <v>0</v>
      </c>
      <c r="T78" s="75">
        <f t="shared" si="16"/>
        <v>0</v>
      </c>
      <c r="U78" s="75">
        <f t="shared" si="17"/>
        <v>0</v>
      </c>
      <c r="X78" s="324"/>
    </row>
    <row r="79" spans="1:24" s="323" customFormat="1" ht="12.75" customHeight="1">
      <c r="A79" s="325"/>
      <c r="B79" s="326"/>
      <c r="C79" s="327" t="s">
        <v>30</v>
      </c>
      <c r="D79" s="328"/>
      <c r="E79" s="329"/>
      <c r="F79" s="317" t="s">
        <v>18</v>
      </c>
      <c r="G79" s="318">
        <v>8.9999999999999993E-3</v>
      </c>
      <c r="H79" s="330">
        <v>127.083</v>
      </c>
      <c r="I79" s="319">
        <f>+H79*G79</f>
        <v>1.1437469999999998</v>
      </c>
      <c r="J79" s="320"/>
      <c r="K79" s="330"/>
      <c r="L79" s="320"/>
      <c r="M79" s="330"/>
      <c r="N79" s="319"/>
      <c r="O79" s="331"/>
      <c r="P79" s="289"/>
      <c r="Q79" s="289"/>
      <c r="R79" s="322"/>
      <c r="S79" s="75">
        <f t="shared" si="15"/>
        <v>0</v>
      </c>
      <c r="T79" s="75">
        <f t="shared" si="16"/>
        <v>0</v>
      </c>
      <c r="U79" s="75">
        <f t="shared" si="17"/>
        <v>0</v>
      </c>
      <c r="X79" s="324"/>
    </row>
    <row r="80" spans="1:24" s="323" customFormat="1" ht="12.75" customHeight="1">
      <c r="A80" s="325"/>
      <c r="B80" s="326"/>
      <c r="C80" s="327" t="s">
        <v>93</v>
      </c>
      <c r="D80" s="328"/>
      <c r="E80" s="329"/>
      <c r="F80" s="317" t="s">
        <v>29</v>
      </c>
      <c r="G80" s="318">
        <v>3.4</v>
      </c>
      <c r="H80" s="330">
        <v>3.5</v>
      </c>
      <c r="I80" s="319">
        <f>+H80*G80</f>
        <v>11.9</v>
      </c>
      <c r="J80" s="320"/>
      <c r="K80" s="330"/>
      <c r="L80" s="320"/>
      <c r="M80" s="330"/>
      <c r="N80" s="319"/>
      <c r="O80" s="331"/>
      <c r="P80" s="289"/>
      <c r="Q80" s="289"/>
      <c r="R80" s="322"/>
      <c r="S80" s="75">
        <f t="shared" si="15"/>
        <v>0</v>
      </c>
      <c r="T80" s="75">
        <f t="shared" si="16"/>
        <v>0</v>
      </c>
      <c r="U80" s="75">
        <f t="shared" si="17"/>
        <v>0</v>
      </c>
      <c r="X80" s="324"/>
    </row>
    <row r="81" spans="1:24" s="323" customFormat="1" ht="0.75" customHeight="1">
      <c r="A81" s="325"/>
      <c r="B81" s="326"/>
      <c r="C81" s="332"/>
      <c r="D81" s="328"/>
      <c r="E81" s="329"/>
      <c r="F81" s="317"/>
      <c r="G81" s="318"/>
      <c r="H81" s="319"/>
      <c r="I81" s="319"/>
      <c r="J81" s="320"/>
      <c r="K81" s="330"/>
      <c r="L81" s="320"/>
      <c r="M81" s="330"/>
      <c r="N81" s="319"/>
      <c r="O81" s="331"/>
      <c r="P81" s="289"/>
      <c r="Q81" s="289"/>
      <c r="R81" s="322"/>
      <c r="S81" s="75">
        <f t="shared" si="15"/>
        <v>0</v>
      </c>
      <c r="T81" s="75">
        <f t="shared" si="16"/>
        <v>0</v>
      </c>
      <c r="U81" s="75">
        <f t="shared" si="17"/>
        <v>0</v>
      </c>
      <c r="X81" s="324"/>
    </row>
    <row r="82" spans="1:24" s="23" customFormat="1" ht="15.75" customHeight="1">
      <c r="A82" s="24"/>
      <c r="B82" s="308"/>
      <c r="C82" s="312" t="s">
        <v>86</v>
      </c>
      <c r="D82" s="313"/>
      <c r="E82" s="13"/>
      <c r="F82" s="292"/>
      <c r="G82" s="27"/>
      <c r="H82" s="73"/>
      <c r="I82" s="73"/>
      <c r="J82" s="73"/>
      <c r="K82" s="73"/>
      <c r="L82" s="73"/>
      <c r="M82" s="73"/>
      <c r="N82" s="73"/>
      <c r="O82" s="26">
        <f>SUM(O51:O81)</f>
        <v>1070.1077014428608</v>
      </c>
      <c r="P82" s="74"/>
      <c r="Q82" s="74"/>
      <c r="R82" s="75"/>
      <c r="S82" s="75">
        <f t="shared" si="15"/>
        <v>0</v>
      </c>
      <c r="T82" s="75">
        <f t="shared" si="16"/>
        <v>0</v>
      </c>
      <c r="U82" s="75">
        <f t="shared" si="17"/>
        <v>0</v>
      </c>
      <c r="V82" s="76"/>
      <c r="W82" s="76"/>
      <c r="X82" s="77"/>
    </row>
    <row r="83" spans="1:24" s="23" customFormat="1" ht="18" customHeight="1">
      <c r="A83" s="24"/>
      <c r="B83" s="308"/>
      <c r="C83" s="312" t="s">
        <v>87</v>
      </c>
      <c r="D83" s="313"/>
      <c r="E83" s="13"/>
      <c r="F83" s="292"/>
      <c r="G83" s="27"/>
      <c r="H83" s="73"/>
      <c r="I83" s="73"/>
      <c r="J83" s="73"/>
      <c r="K83" s="73"/>
      <c r="L83" s="73"/>
      <c r="M83" s="73"/>
      <c r="N83" s="73"/>
      <c r="O83" s="314">
        <f>+O82/O$143</f>
        <v>0.210895654322763</v>
      </c>
      <c r="P83" s="74"/>
      <c r="Q83" s="337"/>
      <c r="R83" s="75"/>
      <c r="S83" s="75">
        <f t="shared" si="15"/>
        <v>0</v>
      </c>
      <c r="T83" s="75">
        <f t="shared" si="16"/>
        <v>0</v>
      </c>
      <c r="U83" s="75">
        <f t="shared" si="17"/>
        <v>0</v>
      </c>
      <c r="V83" s="76"/>
      <c r="W83" s="76"/>
      <c r="X83" s="77"/>
    </row>
    <row r="84" spans="1:24" s="235" customFormat="1" ht="27.75" customHeight="1">
      <c r="A84" s="24"/>
      <c r="B84" s="101"/>
      <c r="C84" s="359" t="s">
        <v>155</v>
      </c>
      <c r="D84" s="80"/>
      <c r="E84" s="13"/>
      <c r="F84" s="80"/>
      <c r="G84" s="27"/>
      <c r="H84" s="73"/>
      <c r="I84" s="73"/>
      <c r="J84" s="79"/>
      <c r="K84" s="236"/>
      <c r="L84" s="79"/>
      <c r="M84" s="73"/>
      <c r="N84" s="73"/>
      <c r="O84" s="26"/>
      <c r="P84" s="234"/>
      <c r="R84" s="75"/>
      <c r="S84" s="75"/>
      <c r="T84" s="75"/>
      <c r="U84" s="75"/>
    </row>
    <row r="85" spans="1:24" s="76" customFormat="1" ht="28.5" customHeight="1">
      <c r="A85" s="24">
        <v>19</v>
      </c>
      <c r="B85" s="25" t="s">
        <v>144</v>
      </c>
      <c r="C85" s="71" t="s">
        <v>145</v>
      </c>
      <c r="D85" s="72" t="s">
        <v>19</v>
      </c>
      <c r="E85" s="230">
        <v>0.17299999999999999</v>
      </c>
      <c r="F85" s="80"/>
      <c r="G85" s="81"/>
      <c r="H85" s="73"/>
      <c r="I85" s="73"/>
      <c r="J85" s="79">
        <v>59</v>
      </c>
      <c r="K85" s="73">
        <f>+J85*S$1*V$1</f>
        <v>120.85678000000001</v>
      </c>
      <c r="L85" s="102"/>
      <c r="M85" s="73"/>
      <c r="N85" s="73">
        <f>+M85+K85+I85</f>
        <v>120.85678000000001</v>
      </c>
      <c r="O85" s="26">
        <f>+N85*E85</f>
        <v>20.908222940000002</v>
      </c>
      <c r="P85" s="54"/>
      <c r="Q85" s="75"/>
      <c r="R85" s="75"/>
      <c r="S85" s="75">
        <f t="shared" ref="S85:S90" si="18">+I85*E85</f>
        <v>0</v>
      </c>
      <c r="T85" s="75">
        <f t="shared" ref="T85:T90" si="19">+K85*E85</f>
        <v>20.908222940000002</v>
      </c>
      <c r="U85" s="75">
        <f t="shared" ref="U85:U90" si="20">+M85*E85</f>
        <v>0</v>
      </c>
      <c r="X85" s="77"/>
    </row>
    <row r="86" spans="1:24" s="76" customFormat="1" ht="1.5" customHeight="1">
      <c r="A86" s="24"/>
      <c r="B86" s="25"/>
      <c r="C86" s="71"/>
      <c r="D86" s="72"/>
      <c r="E86" s="55"/>
      <c r="F86" s="80"/>
      <c r="G86" s="81"/>
      <c r="H86" s="73"/>
      <c r="I86" s="304"/>
      <c r="J86" s="79"/>
      <c r="K86" s="73"/>
      <c r="L86" s="79"/>
      <c r="M86" s="73"/>
      <c r="N86" s="73"/>
      <c r="O86" s="26"/>
      <c r="P86" s="54"/>
      <c r="Q86" s="75"/>
      <c r="R86" s="75"/>
      <c r="S86" s="75">
        <f t="shared" si="18"/>
        <v>0</v>
      </c>
      <c r="T86" s="75">
        <f t="shared" si="19"/>
        <v>0</v>
      </c>
      <c r="U86" s="75">
        <f t="shared" si="20"/>
        <v>0</v>
      </c>
      <c r="X86" s="77"/>
    </row>
    <row r="87" spans="1:24" s="76" customFormat="1" ht="42" customHeight="1">
      <c r="A87" s="24">
        <v>20</v>
      </c>
      <c r="B87" s="25" t="s">
        <v>146</v>
      </c>
      <c r="C87" s="71" t="s">
        <v>157</v>
      </c>
      <c r="D87" s="72" t="s">
        <v>19</v>
      </c>
      <c r="E87" s="230">
        <v>1.65</v>
      </c>
      <c r="F87" s="80"/>
      <c r="G87" s="81"/>
      <c r="H87" s="73"/>
      <c r="I87" s="73"/>
      <c r="J87" s="79">
        <f>373*0.13</f>
        <v>48.49</v>
      </c>
      <c r="K87" s="73">
        <f>+J87*S$1*V$1</f>
        <v>99.327885800000004</v>
      </c>
      <c r="L87" s="102"/>
      <c r="M87" s="73"/>
      <c r="N87" s="73">
        <f>+M87+K87+I87</f>
        <v>99.327885800000004</v>
      </c>
      <c r="O87" s="26">
        <f>+N87*E87</f>
        <v>163.89101156999999</v>
      </c>
      <c r="P87" s="54"/>
      <c r="Q87" s="75"/>
      <c r="R87" s="75"/>
      <c r="S87" s="75">
        <f t="shared" si="18"/>
        <v>0</v>
      </c>
      <c r="T87" s="75">
        <f t="shared" si="19"/>
        <v>163.89101156999999</v>
      </c>
      <c r="U87" s="75">
        <f t="shared" si="20"/>
        <v>0</v>
      </c>
      <c r="X87" s="77"/>
    </row>
    <row r="88" spans="1:24" s="76" customFormat="1" ht="1.5" customHeight="1">
      <c r="A88" s="24"/>
      <c r="B88" s="25"/>
      <c r="C88" s="71"/>
      <c r="D88" s="72"/>
      <c r="E88" s="55"/>
      <c r="F88" s="80"/>
      <c r="G88" s="81"/>
      <c r="H88" s="73"/>
      <c r="I88" s="304"/>
      <c r="J88" s="79"/>
      <c r="K88" s="73"/>
      <c r="L88" s="79"/>
      <c r="M88" s="73"/>
      <c r="N88" s="73"/>
      <c r="O88" s="26"/>
      <c r="P88" s="54"/>
      <c r="Q88" s="75"/>
      <c r="R88" s="75"/>
      <c r="S88" s="75">
        <f t="shared" si="18"/>
        <v>0</v>
      </c>
      <c r="T88" s="75">
        <f t="shared" si="19"/>
        <v>0</v>
      </c>
      <c r="U88" s="75">
        <f t="shared" si="20"/>
        <v>0</v>
      </c>
      <c r="X88" s="77"/>
    </row>
    <row r="89" spans="1:24" s="23" customFormat="1" ht="15.75" customHeight="1">
      <c r="A89" s="24"/>
      <c r="B89" s="308"/>
      <c r="C89" s="312" t="s">
        <v>86</v>
      </c>
      <c r="D89" s="313"/>
      <c r="E89" s="13"/>
      <c r="F89" s="292"/>
      <c r="G89" s="27"/>
      <c r="H89" s="73"/>
      <c r="I89" s="73"/>
      <c r="J89" s="73"/>
      <c r="K89" s="73"/>
      <c r="L89" s="73"/>
      <c r="M89" s="73"/>
      <c r="N89" s="73"/>
      <c r="O89" s="26">
        <f>SUM(O85:O88)</f>
        <v>184.79923450999999</v>
      </c>
      <c r="P89" s="74"/>
      <c r="Q89" s="74"/>
      <c r="R89" s="75"/>
      <c r="S89" s="75">
        <f t="shared" si="18"/>
        <v>0</v>
      </c>
      <c r="T89" s="75">
        <f t="shared" si="19"/>
        <v>0</v>
      </c>
      <c r="U89" s="75">
        <f t="shared" si="20"/>
        <v>0</v>
      </c>
      <c r="V89" s="76"/>
      <c r="W89" s="76"/>
      <c r="X89" s="77"/>
    </row>
    <row r="90" spans="1:24" s="23" customFormat="1" ht="18" customHeight="1">
      <c r="A90" s="24"/>
      <c r="B90" s="308"/>
      <c r="C90" s="312" t="s">
        <v>87</v>
      </c>
      <c r="D90" s="313"/>
      <c r="E90" s="13"/>
      <c r="F90" s="292"/>
      <c r="G90" s="27"/>
      <c r="H90" s="73"/>
      <c r="I90" s="73"/>
      <c r="J90" s="73"/>
      <c r="K90" s="73"/>
      <c r="L90" s="73"/>
      <c r="M90" s="73"/>
      <c r="N90" s="73"/>
      <c r="O90" s="314">
        <f>+O89/O$143</f>
        <v>3.6420030832207954E-2</v>
      </c>
      <c r="P90" s="74"/>
      <c r="Q90" s="337"/>
      <c r="R90" s="75"/>
      <c r="S90" s="75">
        <f t="shared" si="18"/>
        <v>0</v>
      </c>
      <c r="T90" s="75">
        <f t="shared" si="19"/>
        <v>0</v>
      </c>
      <c r="U90" s="75">
        <f t="shared" si="20"/>
        <v>0</v>
      </c>
      <c r="V90" s="76"/>
      <c r="W90" s="76"/>
      <c r="X90" s="77"/>
    </row>
    <row r="91" spans="1:24" s="235" customFormat="1" ht="27.75" customHeight="1">
      <c r="A91" s="24"/>
      <c r="B91" s="101"/>
      <c r="C91" s="359" t="s">
        <v>104</v>
      </c>
      <c r="D91" s="80"/>
      <c r="E91" s="13"/>
      <c r="F91" s="80"/>
      <c r="G91" s="27"/>
      <c r="H91" s="73"/>
      <c r="I91" s="73"/>
      <c r="J91" s="79"/>
      <c r="K91" s="236"/>
      <c r="L91" s="79"/>
      <c r="M91" s="73"/>
      <c r="N91" s="73"/>
      <c r="O91" s="26"/>
      <c r="P91" s="234"/>
      <c r="R91" s="75"/>
      <c r="S91" s="75"/>
      <c r="T91" s="75"/>
      <c r="U91" s="75"/>
    </row>
    <row r="92" spans="1:24" s="89" customFormat="1" ht="12.75" customHeight="1">
      <c r="A92" s="24">
        <v>21</v>
      </c>
      <c r="B92" s="25" t="s">
        <v>159</v>
      </c>
      <c r="C92" s="71" t="s">
        <v>160</v>
      </c>
      <c r="D92" s="72" t="s">
        <v>18</v>
      </c>
      <c r="E92" s="55">
        <f>30*0.15</f>
        <v>4.5</v>
      </c>
      <c r="F92" s="80"/>
      <c r="G92" s="81"/>
      <c r="H92" s="73"/>
      <c r="I92" s="73"/>
      <c r="J92" s="79">
        <v>1.1000000000000001</v>
      </c>
      <c r="K92" s="73">
        <f>+J92*S$1*V$1</f>
        <v>2.2532620000000003</v>
      </c>
      <c r="L92" s="79"/>
      <c r="M92" s="73"/>
      <c r="N92" s="73">
        <f>+M92+K92+I92</f>
        <v>2.2532620000000003</v>
      </c>
      <c r="O92" s="26">
        <f>+N92*E92</f>
        <v>10.139679000000001</v>
      </c>
      <c r="P92" s="88"/>
      <c r="Q92" s="82"/>
      <c r="R92" s="82"/>
      <c r="S92" s="75">
        <f t="shared" ref="S92:S98" si="21">+I92*E92</f>
        <v>0</v>
      </c>
      <c r="T92" s="75">
        <f t="shared" ref="T92:T98" si="22">+K92*E92</f>
        <v>10.139679000000001</v>
      </c>
      <c r="U92" s="75">
        <f t="shared" ref="U92:U98" si="23">+M92*E92</f>
        <v>0</v>
      </c>
      <c r="X92" s="90"/>
    </row>
    <row r="93" spans="1:24" s="89" customFormat="1" ht="3" customHeight="1">
      <c r="A93" s="53"/>
      <c r="B93" s="25"/>
      <c r="C93" s="93"/>
      <c r="D93" s="80"/>
      <c r="E93" s="230"/>
      <c r="F93" s="80"/>
      <c r="G93" s="27"/>
      <c r="H93" s="99"/>
      <c r="I93" s="81"/>
      <c r="J93" s="79"/>
      <c r="K93" s="81"/>
      <c r="L93" s="79"/>
      <c r="M93" s="81"/>
      <c r="N93" s="73"/>
      <c r="O93" s="28"/>
      <c r="P93" s="88"/>
      <c r="Q93" s="82"/>
      <c r="R93" s="82"/>
      <c r="S93" s="75">
        <f t="shared" si="21"/>
        <v>0</v>
      </c>
      <c r="T93" s="75">
        <f t="shared" si="22"/>
        <v>0</v>
      </c>
      <c r="U93" s="75">
        <f t="shared" si="23"/>
        <v>0</v>
      </c>
      <c r="X93" s="90"/>
    </row>
    <row r="94" spans="1:24" s="323" customFormat="1" ht="24" customHeight="1">
      <c r="A94" s="307">
        <v>22</v>
      </c>
      <c r="B94" s="308" t="s">
        <v>172</v>
      </c>
      <c r="C94" s="315" t="s">
        <v>173</v>
      </c>
      <c r="D94" s="309" t="s">
        <v>107</v>
      </c>
      <c r="E94" s="364">
        <v>15</v>
      </c>
      <c r="F94" s="317"/>
      <c r="G94" s="318"/>
      <c r="H94" s="319"/>
      <c r="I94" s="319">
        <f>SUM(I95:I97)*R$1*U$1</f>
        <v>7.3923216595200012</v>
      </c>
      <c r="J94" s="320">
        <v>0.59199999999999997</v>
      </c>
      <c r="K94" s="319">
        <f>+J94*S$1*V$1</f>
        <v>1.2126646400000001</v>
      </c>
      <c r="L94" s="320">
        <v>7.1000000000000004E-3</v>
      </c>
      <c r="M94" s="319">
        <f>+L94*T$1*W$1</f>
        <v>2.1905630000000002E-2</v>
      </c>
      <c r="N94" s="319">
        <f>+M94+K94+I94</f>
        <v>8.6268919295200011</v>
      </c>
      <c r="O94" s="321">
        <f>+N94*E94</f>
        <v>129.4033789428</v>
      </c>
      <c r="P94" s="289"/>
      <c r="Q94" s="289"/>
      <c r="R94" s="322"/>
      <c r="S94" s="75">
        <f t="shared" si="21"/>
        <v>110.88482489280001</v>
      </c>
      <c r="T94" s="75">
        <f t="shared" si="22"/>
        <v>18.189969600000001</v>
      </c>
      <c r="U94" s="75">
        <f t="shared" si="23"/>
        <v>0.32858445000000003</v>
      </c>
      <c r="X94" s="324"/>
    </row>
    <row r="95" spans="1:24" s="323" customFormat="1" ht="12.75" customHeight="1">
      <c r="A95" s="325"/>
      <c r="B95" s="326"/>
      <c r="C95" s="327" t="s">
        <v>174</v>
      </c>
      <c r="D95" s="328"/>
      <c r="E95" s="329"/>
      <c r="F95" s="317" t="s">
        <v>107</v>
      </c>
      <c r="G95" s="318">
        <v>1</v>
      </c>
      <c r="H95" s="330">
        <v>2.5</v>
      </c>
      <c r="I95" s="319">
        <f>+H95*G95</f>
        <v>2.5</v>
      </c>
      <c r="J95" s="320"/>
      <c r="K95" s="330"/>
      <c r="L95" s="320"/>
      <c r="M95" s="330"/>
      <c r="N95" s="319"/>
      <c r="O95" s="331"/>
      <c r="P95" s="289"/>
      <c r="Q95" s="289"/>
      <c r="R95" s="322"/>
      <c r="S95" s="75">
        <f t="shared" si="21"/>
        <v>0</v>
      </c>
      <c r="T95" s="75">
        <f t="shared" si="22"/>
        <v>0</v>
      </c>
      <c r="U95" s="75">
        <f t="shared" si="23"/>
        <v>0</v>
      </c>
      <c r="X95" s="324"/>
    </row>
    <row r="96" spans="1:24" s="323" customFormat="1" ht="12.75" customHeight="1">
      <c r="A96" s="325"/>
      <c r="B96" s="326"/>
      <c r="C96" s="78" t="s">
        <v>166</v>
      </c>
      <c r="D96" s="328"/>
      <c r="E96" s="329"/>
      <c r="F96" s="317" t="s">
        <v>18</v>
      </c>
      <c r="G96" s="318">
        <v>0.03</v>
      </c>
      <c r="H96" s="330">
        <v>127.083</v>
      </c>
      <c r="I96" s="319">
        <f>+H96*G96</f>
        <v>3.8124899999999999</v>
      </c>
      <c r="J96" s="320"/>
      <c r="K96" s="330"/>
      <c r="L96" s="320"/>
      <c r="M96" s="330"/>
      <c r="N96" s="319"/>
      <c r="O96" s="331"/>
      <c r="P96" s="289"/>
      <c r="Q96" s="289"/>
      <c r="R96" s="322"/>
      <c r="S96" s="75">
        <f t="shared" si="21"/>
        <v>0</v>
      </c>
      <c r="T96" s="75">
        <f t="shared" si="22"/>
        <v>0</v>
      </c>
      <c r="U96" s="75">
        <f t="shared" si="23"/>
        <v>0</v>
      </c>
      <c r="X96" s="324"/>
    </row>
    <row r="97" spans="1:24" s="323" customFormat="1" ht="12.75" customHeight="1">
      <c r="A97" s="325"/>
      <c r="B97" s="326"/>
      <c r="C97" s="327" t="s">
        <v>105</v>
      </c>
      <c r="D97" s="328"/>
      <c r="E97" s="329"/>
      <c r="F97" s="317" t="s">
        <v>18</v>
      </c>
      <c r="G97" s="318">
        <v>8.9999999999999993E-3</v>
      </c>
      <c r="H97" s="330">
        <v>3.5</v>
      </c>
      <c r="I97" s="319">
        <f>+H97*G97</f>
        <v>3.15E-2</v>
      </c>
      <c r="J97" s="320"/>
      <c r="K97" s="330"/>
      <c r="L97" s="320"/>
      <c r="M97" s="330"/>
      <c r="N97" s="319"/>
      <c r="O97" s="331"/>
      <c r="P97" s="289"/>
      <c r="Q97" s="289"/>
      <c r="R97" s="322"/>
      <c r="S97" s="75">
        <f t="shared" si="21"/>
        <v>0</v>
      </c>
      <c r="T97" s="75">
        <f t="shared" si="22"/>
        <v>0</v>
      </c>
      <c r="U97" s="75">
        <f t="shared" si="23"/>
        <v>0</v>
      </c>
      <c r="X97" s="324"/>
    </row>
    <row r="98" spans="1:24" s="84" customFormat="1" ht="30" customHeight="1">
      <c r="A98" s="24">
        <v>23</v>
      </c>
      <c r="B98" s="25" t="s">
        <v>162</v>
      </c>
      <c r="C98" s="71" t="s">
        <v>164</v>
      </c>
      <c r="D98" s="73" t="s">
        <v>18</v>
      </c>
      <c r="E98" s="55">
        <f>30*0.07</f>
        <v>2.1</v>
      </c>
      <c r="F98" s="73"/>
      <c r="G98" s="73"/>
      <c r="H98" s="73"/>
      <c r="I98" s="73">
        <f>SUM(I99:I99)*R$1*U$1</f>
        <v>6.2015430758400001</v>
      </c>
      <c r="J98" s="79">
        <v>0.45</v>
      </c>
      <c r="K98" s="73">
        <f>+J98*S$1*V$1</f>
        <v>0.92178900000000008</v>
      </c>
      <c r="L98" s="79">
        <v>0.37</v>
      </c>
      <c r="M98" s="73">
        <f>+L98*T$1*W$1</f>
        <v>1.141561</v>
      </c>
      <c r="N98" s="73">
        <f>+M98+K98+I98</f>
        <v>8.2648930758399999</v>
      </c>
      <c r="O98" s="26">
        <f>+N98*E98</f>
        <v>17.356275459264001</v>
      </c>
      <c r="P98" s="83"/>
      <c r="Q98" s="83"/>
      <c r="R98" s="82"/>
      <c r="S98" s="75">
        <f t="shared" si="21"/>
        <v>13.023240459264001</v>
      </c>
      <c r="T98" s="75">
        <f t="shared" si="22"/>
        <v>1.9357569000000003</v>
      </c>
      <c r="U98" s="75">
        <f t="shared" si="23"/>
        <v>2.3972781000000003</v>
      </c>
      <c r="X98" s="85"/>
    </row>
    <row r="99" spans="1:24" s="76" customFormat="1">
      <c r="A99" s="24"/>
      <c r="B99" s="98"/>
      <c r="C99" s="78" t="s">
        <v>163</v>
      </c>
      <c r="D99" s="80"/>
      <c r="E99" s="51"/>
      <c r="F99" s="80" t="s">
        <v>18</v>
      </c>
      <c r="G99" s="27">
        <v>1.24</v>
      </c>
      <c r="H99" s="73">
        <v>4.2919999999999998</v>
      </c>
      <c r="I99" s="73">
        <f>+H99*G99</f>
        <v>5.3220799999999997</v>
      </c>
      <c r="J99" s="79"/>
      <c r="K99" s="81"/>
      <c r="L99" s="79"/>
      <c r="M99" s="81"/>
      <c r="N99" s="73"/>
      <c r="O99" s="28"/>
      <c r="P99" s="74"/>
      <c r="Q99" s="54"/>
      <c r="R99" s="75"/>
      <c r="S99" s="75">
        <f t="shared" ref="S99:S106" si="24">+I99*E99</f>
        <v>0</v>
      </c>
      <c r="T99" s="75">
        <f t="shared" ref="T99:T106" si="25">+K99*E99</f>
        <v>0</v>
      </c>
      <c r="U99" s="75">
        <f t="shared" ref="U99:U106" si="26">+M99*E99</f>
        <v>0</v>
      </c>
      <c r="V99" s="82"/>
      <c r="X99" s="77"/>
    </row>
    <row r="100" spans="1:24" s="76" customFormat="1" ht="3.75" customHeight="1">
      <c r="A100" s="24"/>
      <c r="B100" s="98"/>
      <c r="C100" s="78"/>
      <c r="D100" s="80"/>
      <c r="E100" s="51"/>
      <c r="F100" s="80"/>
      <c r="G100" s="27"/>
      <c r="H100" s="73"/>
      <c r="I100" s="73"/>
      <c r="J100" s="79"/>
      <c r="K100" s="81"/>
      <c r="L100" s="79"/>
      <c r="M100" s="81"/>
      <c r="N100" s="73"/>
      <c r="O100" s="28"/>
      <c r="P100" s="74"/>
      <c r="Q100" s="54"/>
      <c r="R100" s="75"/>
      <c r="S100" s="75">
        <f t="shared" si="24"/>
        <v>0</v>
      </c>
      <c r="T100" s="75">
        <f t="shared" si="25"/>
        <v>0</v>
      </c>
      <c r="U100" s="75">
        <f t="shared" si="26"/>
        <v>0</v>
      </c>
      <c r="V100" s="82"/>
      <c r="X100" s="77"/>
    </row>
    <row r="101" spans="1:24" s="76" customFormat="1" ht="26.25" customHeight="1">
      <c r="A101" s="24">
        <v>24</v>
      </c>
      <c r="B101" s="25" t="s">
        <v>165</v>
      </c>
      <c r="C101" s="71" t="s">
        <v>167</v>
      </c>
      <c r="D101" s="72" t="s">
        <v>18</v>
      </c>
      <c r="E101" s="55">
        <f>30*0.05</f>
        <v>1.5</v>
      </c>
      <c r="F101" s="80"/>
      <c r="G101" s="27"/>
      <c r="H101" s="73"/>
      <c r="I101" s="73">
        <f>SUM(I102)*R$1*U$1</f>
        <v>34.501315322880004</v>
      </c>
      <c r="J101" s="79">
        <v>1.62</v>
      </c>
      <c r="K101" s="73">
        <f>+J101*S$1*V$1</f>
        <v>3.3184404000000005</v>
      </c>
      <c r="L101" s="79"/>
      <c r="M101" s="73"/>
      <c r="N101" s="73">
        <f>+M101+K101+I101</f>
        <v>37.819755722880004</v>
      </c>
      <c r="O101" s="26">
        <f>+N101*E101</f>
        <v>56.729633584320005</v>
      </c>
      <c r="P101" s="239"/>
      <c r="Q101" s="54"/>
      <c r="R101" s="75"/>
      <c r="S101" s="75">
        <f t="shared" si="24"/>
        <v>51.751972984320005</v>
      </c>
      <c r="T101" s="75">
        <f t="shared" si="25"/>
        <v>4.977660600000001</v>
      </c>
      <c r="U101" s="77">
        <f t="shared" si="26"/>
        <v>0</v>
      </c>
      <c r="X101" s="77"/>
    </row>
    <row r="102" spans="1:24" s="23" customFormat="1" ht="13.5" customHeight="1">
      <c r="A102" s="306"/>
      <c r="B102" s="361"/>
      <c r="C102" s="78" t="s">
        <v>166</v>
      </c>
      <c r="D102" s="362"/>
      <c r="E102" s="363"/>
      <c r="F102" s="292" t="s">
        <v>18</v>
      </c>
      <c r="G102" s="27">
        <v>1.02</v>
      </c>
      <c r="H102" s="73">
        <v>29.027999999999999</v>
      </c>
      <c r="I102" s="73">
        <f>+H102*G102</f>
        <v>29.608560000000001</v>
      </c>
      <c r="J102" s="79"/>
      <c r="K102" s="73"/>
      <c r="L102" s="79"/>
      <c r="M102" s="73"/>
      <c r="N102" s="73"/>
      <c r="O102" s="26"/>
      <c r="P102" s="74"/>
      <c r="Q102" s="74"/>
      <c r="R102" s="75"/>
      <c r="S102" s="75">
        <f t="shared" si="24"/>
        <v>0</v>
      </c>
      <c r="T102" s="75">
        <f t="shared" si="25"/>
        <v>0</v>
      </c>
      <c r="U102" s="77">
        <f t="shared" si="26"/>
        <v>0</v>
      </c>
      <c r="V102" s="76"/>
      <c r="W102" s="76"/>
      <c r="X102" s="77"/>
    </row>
    <row r="103" spans="1:24" s="23" customFormat="1" ht="4.5" customHeight="1">
      <c r="A103" s="306"/>
      <c r="B103" s="361"/>
      <c r="C103" s="78"/>
      <c r="D103" s="362"/>
      <c r="E103" s="363"/>
      <c r="F103" s="292"/>
      <c r="G103" s="27"/>
      <c r="H103" s="81"/>
      <c r="I103" s="73"/>
      <c r="J103" s="79"/>
      <c r="K103" s="73"/>
      <c r="L103" s="79"/>
      <c r="M103" s="73"/>
      <c r="N103" s="73"/>
      <c r="O103" s="26"/>
      <c r="P103" s="74"/>
      <c r="Q103" s="74"/>
      <c r="R103" s="75"/>
      <c r="S103" s="75">
        <f t="shared" si="24"/>
        <v>0</v>
      </c>
      <c r="T103" s="75">
        <f t="shared" si="25"/>
        <v>0</v>
      </c>
      <c r="U103" s="77">
        <f t="shared" si="26"/>
        <v>0</v>
      </c>
      <c r="V103" s="76"/>
      <c r="W103" s="76"/>
      <c r="X103" s="77"/>
    </row>
    <row r="104" spans="1:24" s="76" customFormat="1" ht="25.5">
      <c r="A104" s="24">
        <v>25</v>
      </c>
      <c r="B104" s="25" t="s">
        <v>168</v>
      </c>
      <c r="C104" s="71" t="s">
        <v>169</v>
      </c>
      <c r="D104" s="72" t="s">
        <v>19</v>
      </c>
      <c r="E104" s="55">
        <v>0.3</v>
      </c>
      <c r="F104" s="80"/>
      <c r="G104" s="81"/>
      <c r="H104" s="73"/>
      <c r="I104" s="73">
        <f>SUM(I105)*R$1*U$1</f>
        <v>111.98033280000001</v>
      </c>
      <c r="J104" s="79">
        <f>9.88+2*0.16</f>
        <v>10.200000000000001</v>
      </c>
      <c r="K104" s="73">
        <f>+J104*S$1*V$1</f>
        <v>20.893884000000003</v>
      </c>
      <c r="L104" s="79">
        <f>0.95+2*0.23</f>
        <v>1.41</v>
      </c>
      <c r="M104" s="73">
        <f>+L104*T$1*W$1</f>
        <v>4.3502729999999996</v>
      </c>
      <c r="N104" s="73">
        <f>+M104+K104+I104</f>
        <v>137.22448980000001</v>
      </c>
      <c r="O104" s="26">
        <f>+N104*E104</f>
        <v>41.167346940000002</v>
      </c>
      <c r="P104" s="239"/>
      <c r="Q104" s="54"/>
      <c r="R104" s="75"/>
      <c r="S104" s="75">
        <f t="shared" si="24"/>
        <v>33.594099840000005</v>
      </c>
      <c r="T104" s="75">
        <f t="shared" si="25"/>
        <v>6.2681652000000012</v>
      </c>
      <c r="U104" s="77">
        <f t="shared" si="26"/>
        <v>1.3050818999999998</v>
      </c>
      <c r="X104" s="77"/>
    </row>
    <row r="105" spans="1:24" s="76" customFormat="1">
      <c r="A105" s="24"/>
      <c r="B105" s="98"/>
      <c r="C105" s="78" t="s">
        <v>100</v>
      </c>
      <c r="D105" s="80"/>
      <c r="E105" s="27"/>
      <c r="F105" s="80" t="s">
        <v>18</v>
      </c>
      <c r="G105" s="27">
        <v>3.1</v>
      </c>
      <c r="H105" s="73">
        <v>31</v>
      </c>
      <c r="I105" s="73">
        <f>+H105*G105</f>
        <v>96.100000000000009</v>
      </c>
      <c r="J105" s="79"/>
      <c r="K105" s="73"/>
      <c r="L105" s="79"/>
      <c r="M105" s="81"/>
      <c r="N105" s="73"/>
      <c r="O105" s="28"/>
      <c r="P105" s="239"/>
      <c r="Q105" s="54"/>
      <c r="R105" s="75"/>
      <c r="S105" s="75">
        <f t="shared" si="24"/>
        <v>0</v>
      </c>
      <c r="T105" s="75">
        <f t="shared" si="25"/>
        <v>0</v>
      </c>
      <c r="U105" s="77">
        <f t="shared" si="26"/>
        <v>0</v>
      </c>
      <c r="X105" s="77"/>
    </row>
    <row r="106" spans="1:24" s="76" customFormat="1" ht="1.5" customHeight="1">
      <c r="A106" s="24"/>
      <c r="B106" s="98"/>
      <c r="C106" s="100"/>
      <c r="D106" s="80"/>
      <c r="E106" s="99"/>
      <c r="F106" s="80"/>
      <c r="G106" s="27"/>
      <c r="H106" s="73"/>
      <c r="I106" s="81"/>
      <c r="J106" s="79"/>
      <c r="K106" s="73"/>
      <c r="L106" s="79"/>
      <c r="M106" s="81"/>
      <c r="N106" s="73"/>
      <c r="O106" s="28"/>
      <c r="P106" s="239"/>
      <c r="Q106" s="54"/>
      <c r="R106" s="75"/>
      <c r="S106" s="75">
        <f t="shared" si="24"/>
        <v>0</v>
      </c>
      <c r="T106" s="75">
        <f t="shared" si="25"/>
        <v>0</v>
      </c>
      <c r="U106" s="77">
        <f t="shared" si="26"/>
        <v>0</v>
      </c>
      <c r="X106" s="77"/>
    </row>
    <row r="107" spans="1:24" s="76" customFormat="1" ht="28.5" customHeight="1">
      <c r="A107" s="24">
        <v>26</v>
      </c>
      <c r="B107" s="25" t="s">
        <v>144</v>
      </c>
      <c r="C107" s="71" t="s">
        <v>170</v>
      </c>
      <c r="D107" s="72" t="s">
        <v>19</v>
      </c>
      <c r="E107" s="55">
        <v>0.1</v>
      </c>
      <c r="F107" s="80"/>
      <c r="G107" s="81"/>
      <c r="H107" s="73"/>
      <c r="I107" s="73"/>
      <c r="J107" s="79">
        <v>59</v>
      </c>
      <c r="K107" s="73">
        <f>+J107*S$1*V$1</f>
        <v>120.85678000000001</v>
      </c>
      <c r="L107" s="102"/>
      <c r="M107" s="73"/>
      <c r="N107" s="73">
        <f>+M107+K107+I107</f>
        <v>120.85678000000001</v>
      </c>
      <c r="O107" s="26">
        <f>+N107*E107</f>
        <v>12.085678000000001</v>
      </c>
      <c r="P107" s="54"/>
      <c r="Q107" s="75"/>
      <c r="R107" s="75"/>
      <c r="S107" s="75">
        <f t="shared" ref="S107:S115" si="27">+I107*E107</f>
        <v>0</v>
      </c>
      <c r="T107" s="75">
        <f t="shared" ref="T107:T115" si="28">+K107*E107</f>
        <v>12.085678000000001</v>
      </c>
      <c r="U107" s="75">
        <f t="shared" ref="U107:U115" si="29">+M107*E107</f>
        <v>0</v>
      </c>
      <c r="X107" s="77"/>
    </row>
    <row r="108" spans="1:24" s="76" customFormat="1" ht="1.5" customHeight="1">
      <c r="A108" s="24"/>
      <c r="B108" s="25"/>
      <c r="C108" s="71"/>
      <c r="D108" s="72"/>
      <c r="E108" s="55"/>
      <c r="F108" s="80"/>
      <c r="G108" s="81"/>
      <c r="H108" s="73"/>
      <c r="I108" s="304"/>
      <c r="J108" s="79"/>
      <c r="K108" s="73"/>
      <c r="L108" s="79"/>
      <c r="M108" s="73"/>
      <c r="N108" s="73"/>
      <c r="O108" s="26"/>
      <c r="P108" s="54"/>
      <c r="Q108" s="75"/>
      <c r="R108" s="75"/>
      <c r="S108" s="75">
        <f t="shared" si="27"/>
        <v>0</v>
      </c>
      <c r="T108" s="75">
        <f t="shared" si="28"/>
        <v>0</v>
      </c>
      <c r="U108" s="75">
        <f t="shared" si="29"/>
        <v>0</v>
      </c>
      <c r="X108" s="77"/>
    </row>
    <row r="109" spans="1:24" s="89" customFormat="1" ht="24.75" customHeight="1">
      <c r="A109" s="24">
        <v>27</v>
      </c>
      <c r="B109" s="25" t="s">
        <v>147</v>
      </c>
      <c r="C109" s="71" t="s">
        <v>150</v>
      </c>
      <c r="D109" s="72" t="s">
        <v>17</v>
      </c>
      <c r="E109" s="55">
        <v>2</v>
      </c>
      <c r="F109" s="80"/>
      <c r="G109" s="81"/>
      <c r="H109" s="73"/>
      <c r="I109" s="73"/>
      <c r="J109" s="79">
        <v>0.81</v>
      </c>
      <c r="K109" s="73">
        <f>+J109*S$1*V$1</f>
        <v>1.6592202000000003</v>
      </c>
      <c r="L109" s="79"/>
      <c r="M109" s="73"/>
      <c r="N109" s="73">
        <f>+M109+K109+I109</f>
        <v>1.6592202000000003</v>
      </c>
      <c r="O109" s="26">
        <f>+N109*E109</f>
        <v>3.3184404000000005</v>
      </c>
      <c r="P109" s="88"/>
      <c r="Q109" s="82"/>
      <c r="R109" s="82"/>
      <c r="S109" s="75">
        <f t="shared" si="27"/>
        <v>0</v>
      </c>
      <c r="T109" s="75">
        <f t="shared" si="28"/>
        <v>3.3184404000000005</v>
      </c>
      <c r="U109" s="75">
        <f t="shared" si="29"/>
        <v>0</v>
      </c>
      <c r="X109" s="90"/>
    </row>
    <row r="110" spans="1:24" s="89" customFormat="1" ht="5.25" customHeight="1">
      <c r="A110" s="24"/>
      <c r="B110" s="25"/>
      <c r="C110" s="71"/>
      <c r="D110" s="72"/>
      <c r="E110" s="230"/>
      <c r="F110" s="80"/>
      <c r="G110" s="81"/>
      <c r="H110" s="73"/>
      <c r="I110" s="73"/>
      <c r="J110" s="79"/>
      <c r="K110" s="73"/>
      <c r="L110" s="79"/>
      <c r="M110" s="73"/>
      <c r="N110" s="73"/>
      <c r="O110" s="26"/>
      <c r="P110" s="293"/>
      <c r="Q110" s="235"/>
      <c r="R110" s="82"/>
      <c r="S110" s="75">
        <f t="shared" si="27"/>
        <v>0</v>
      </c>
      <c r="T110" s="75">
        <f t="shared" si="28"/>
        <v>0</v>
      </c>
      <c r="U110" s="75">
        <f t="shared" si="29"/>
        <v>0</v>
      </c>
      <c r="X110" s="90"/>
    </row>
    <row r="111" spans="1:24" s="89" customFormat="1" ht="24.75" customHeight="1">
      <c r="A111" s="24">
        <v>28</v>
      </c>
      <c r="B111" s="25" t="s">
        <v>148</v>
      </c>
      <c r="C111" s="71" t="s">
        <v>161</v>
      </c>
      <c r="D111" s="72" t="s">
        <v>17</v>
      </c>
      <c r="E111" s="55">
        <v>12</v>
      </c>
      <c r="F111" s="80"/>
      <c r="G111" s="81"/>
      <c r="H111" s="73"/>
      <c r="I111" s="73"/>
      <c r="J111" s="79">
        <v>0.2</v>
      </c>
      <c r="K111" s="73">
        <f>+J111*S$1*V$1</f>
        <v>0.40968400000000005</v>
      </c>
      <c r="L111" s="79"/>
      <c r="M111" s="73"/>
      <c r="N111" s="73">
        <f>+M111+K111+I111</f>
        <v>0.40968400000000005</v>
      </c>
      <c r="O111" s="26">
        <f>+N111*E111</f>
        <v>4.916208000000001</v>
      </c>
      <c r="P111" s="88"/>
      <c r="Q111" s="82"/>
      <c r="R111" s="82"/>
      <c r="S111" s="75">
        <f t="shared" si="27"/>
        <v>0</v>
      </c>
      <c r="T111" s="75">
        <f t="shared" si="28"/>
        <v>4.916208000000001</v>
      </c>
      <c r="U111" s="75">
        <f t="shared" si="29"/>
        <v>0</v>
      </c>
      <c r="X111" s="90"/>
    </row>
    <row r="112" spans="1:24" s="89" customFormat="1" ht="5.25" customHeight="1">
      <c r="A112" s="24"/>
      <c r="B112" s="25"/>
      <c r="C112" s="71"/>
      <c r="D112" s="72"/>
      <c r="E112" s="230"/>
      <c r="F112" s="80"/>
      <c r="G112" s="81"/>
      <c r="H112" s="73"/>
      <c r="I112" s="73"/>
      <c r="J112" s="79"/>
      <c r="K112" s="73"/>
      <c r="L112" s="79"/>
      <c r="M112" s="73"/>
      <c r="N112" s="73"/>
      <c r="O112" s="26"/>
      <c r="P112" s="293"/>
      <c r="Q112" s="235"/>
      <c r="R112" s="82"/>
      <c r="S112" s="75">
        <f t="shared" si="27"/>
        <v>0</v>
      </c>
      <c r="T112" s="75">
        <f t="shared" si="28"/>
        <v>0</v>
      </c>
      <c r="U112" s="75">
        <f t="shared" si="29"/>
        <v>0</v>
      </c>
      <c r="X112" s="90"/>
    </row>
    <row r="113" spans="1:29" s="23" customFormat="1" ht="21" customHeight="1">
      <c r="A113" s="24">
        <v>29</v>
      </c>
      <c r="B113" s="25" t="s">
        <v>158</v>
      </c>
      <c r="C113" s="71" t="s">
        <v>151</v>
      </c>
      <c r="D113" s="313" t="s">
        <v>149</v>
      </c>
      <c r="E113" s="302">
        <v>12</v>
      </c>
      <c r="F113" s="292"/>
      <c r="G113" s="27"/>
      <c r="H113" s="73"/>
      <c r="I113" s="73"/>
      <c r="J113" s="102"/>
      <c r="K113" s="73"/>
      <c r="L113" s="79">
        <v>0.6</v>
      </c>
      <c r="M113" s="319">
        <f>+L113*T$1*W$1</f>
        <v>1.85118</v>
      </c>
      <c r="N113" s="357">
        <f>+M113+K113+I113</f>
        <v>1.85118</v>
      </c>
      <c r="O113" s="358">
        <f>+N113*E113</f>
        <v>22.21416</v>
      </c>
      <c r="P113" s="74"/>
      <c r="Q113" s="74"/>
      <c r="R113" s="75"/>
      <c r="S113" s="75">
        <f t="shared" si="27"/>
        <v>0</v>
      </c>
      <c r="T113" s="75">
        <f t="shared" si="28"/>
        <v>0</v>
      </c>
      <c r="U113" s="75">
        <f t="shared" si="29"/>
        <v>22.21416</v>
      </c>
      <c r="V113" s="76"/>
      <c r="W113" s="76"/>
      <c r="X113" s="77"/>
    </row>
    <row r="114" spans="1:29" s="23" customFormat="1" ht="15.75" customHeight="1">
      <c r="A114" s="24"/>
      <c r="B114" s="308"/>
      <c r="C114" s="312" t="s">
        <v>86</v>
      </c>
      <c r="D114" s="313"/>
      <c r="E114" s="13"/>
      <c r="F114" s="292"/>
      <c r="G114" s="27"/>
      <c r="H114" s="73"/>
      <c r="I114" s="73"/>
      <c r="J114" s="73"/>
      <c r="K114" s="73"/>
      <c r="L114" s="73"/>
      <c r="M114" s="73"/>
      <c r="N114" s="73"/>
      <c r="O114" s="26">
        <f>SUM(O92:O113)</f>
        <v>297.33080032638395</v>
      </c>
      <c r="P114" s="74"/>
      <c r="Q114" s="74"/>
      <c r="R114" s="75"/>
      <c r="S114" s="75">
        <f t="shared" si="27"/>
        <v>0</v>
      </c>
      <c r="T114" s="75">
        <f t="shared" si="28"/>
        <v>0</v>
      </c>
      <c r="U114" s="75">
        <f t="shared" si="29"/>
        <v>0</v>
      </c>
      <c r="V114" s="76"/>
      <c r="W114" s="76"/>
      <c r="X114" s="77"/>
    </row>
    <row r="115" spans="1:29" s="23" customFormat="1" ht="18" customHeight="1">
      <c r="A115" s="24"/>
      <c r="B115" s="308"/>
      <c r="C115" s="312" t="s">
        <v>87</v>
      </c>
      <c r="D115" s="313"/>
      <c r="E115" s="13"/>
      <c r="F115" s="292"/>
      <c r="G115" s="27"/>
      <c r="H115" s="73"/>
      <c r="I115" s="73"/>
      <c r="J115" s="73"/>
      <c r="K115" s="73"/>
      <c r="L115" s="73"/>
      <c r="M115" s="73"/>
      <c r="N115" s="73"/>
      <c r="O115" s="314">
        <f>+O114/O$143</f>
        <v>5.8597628631767922E-2</v>
      </c>
      <c r="P115" s="74"/>
      <c r="Q115" s="337"/>
      <c r="R115" s="75"/>
      <c r="S115" s="75">
        <f t="shared" si="27"/>
        <v>0</v>
      </c>
      <c r="T115" s="75">
        <f t="shared" si="28"/>
        <v>0</v>
      </c>
      <c r="U115" s="75">
        <f t="shared" si="29"/>
        <v>0</v>
      </c>
      <c r="V115" s="76"/>
      <c r="W115" s="76"/>
      <c r="X115" s="77"/>
    </row>
    <row r="116" spans="1:29" s="235" customFormat="1" ht="19.5" customHeight="1">
      <c r="A116" s="24"/>
      <c r="B116" s="101"/>
      <c r="C116" s="359" t="s">
        <v>114</v>
      </c>
      <c r="D116" s="80"/>
      <c r="E116" s="13"/>
      <c r="F116" s="80"/>
      <c r="G116" s="27"/>
      <c r="H116" s="73"/>
      <c r="I116" s="73"/>
      <c r="J116" s="79"/>
      <c r="K116" s="236"/>
      <c r="L116" s="79"/>
      <c r="M116" s="73"/>
      <c r="N116" s="73"/>
      <c r="O116" s="26"/>
      <c r="P116" s="234"/>
      <c r="R116" s="75"/>
      <c r="S116" s="75"/>
      <c r="T116" s="75"/>
      <c r="U116" s="75"/>
    </row>
    <row r="117" spans="1:29" s="373" customFormat="1" ht="29.25" customHeight="1" outlineLevel="1">
      <c r="A117" s="366">
        <v>30</v>
      </c>
      <c r="B117" s="404" t="s">
        <v>188</v>
      </c>
      <c r="C117" s="405" t="s">
        <v>189</v>
      </c>
      <c r="D117" s="270" t="s">
        <v>190</v>
      </c>
      <c r="E117" s="271">
        <v>0.6</v>
      </c>
      <c r="F117" s="97"/>
      <c r="G117" s="367"/>
      <c r="H117" s="305"/>
      <c r="I117" s="243"/>
      <c r="J117" s="79">
        <v>13.6</v>
      </c>
      <c r="K117" s="406">
        <f>+J117*S$1*V$1</f>
        <v>27.858512000000001</v>
      </c>
      <c r="L117" s="79">
        <v>10.4</v>
      </c>
      <c r="M117" s="406">
        <f>+L117*T$1*W$1</f>
        <v>32.087120000000006</v>
      </c>
      <c r="N117" s="406">
        <f>+M117+K117+I117</f>
        <v>59.945632000000003</v>
      </c>
      <c r="O117" s="407">
        <f>+N117*E117</f>
        <v>35.967379200000003</v>
      </c>
      <c r="P117" s="88"/>
      <c r="Q117" s="368"/>
      <c r="R117" s="369"/>
      <c r="S117" s="402">
        <f>+I117*E117</f>
        <v>0</v>
      </c>
      <c r="T117" s="403">
        <f>+K117*E117</f>
        <v>16.715107199999998</v>
      </c>
      <c r="U117" s="403">
        <f>+M117*E117</f>
        <v>19.252272000000001</v>
      </c>
      <c r="V117" s="370"/>
      <c r="W117" s="370"/>
      <c r="X117" s="371"/>
      <c r="Y117" s="371"/>
      <c r="Z117" s="371"/>
      <c r="AA117" s="370"/>
      <c r="AB117" s="372"/>
      <c r="AC117" s="372"/>
    </row>
    <row r="118" spans="1:29" s="373" customFormat="1" ht="8.25" customHeight="1" outlineLevel="1">
      <c r="A118" s="366"/>
      <c r="B118" s="404"/>
      <c r="C118" s="405"/>
      <c r="D118" s="270"/>
      <c r="E118" s="271"/>
      <c r="F118" s="97"/>
      <c r="G118" s="367"/>
      <c r="H118" s="305"/>
      <c r="I118" s="243"/>
      <c r="J118" s="79"/>
      <c r="K118" s="406"/>
      <c r="L118" s="79"/>
      <c r="M118" s="406"/>
      <c r="N118" s="406"/>
      <c r="O118" s="407"/>
      <c r="P118" s="88"/>
      <c r="Q118" s="368"/>
      <c r="R118" s="369"/>
      <c r="S118" s="402">
        <f>+I118*E118</f>
        <v>0</v>
      </c>
      <c r="T118" s="403">
        <f>+K118*E118</f>
        <v>0</v>
      </c>
      <c r="U118" s="403">
        <f>+M118*E118</f>
        <v>0</v>
      </c>
      <c r="V118" s="370"/>
      <c r="W118" s="370"/>
      <c r="X118" s="371"/>
      <c r="Y118" s="371"/>
      <c r="Z118" s="371"/>
      <c r="AA118" s="370"/>
      <c r="AB118" s="372"/>
      <c r="AC118" s="372"/>
    </row>
    <row r="119" spans="1:29" s="323" customFormat="1" ht="22.5" customHeight="1">
      <c r="A119" s="307">
        <v>31</v>
      </c>
      <c r="B119" s="308" t="s">
        <v>176</v>
      </c>
      <c r="C119" s="315" t="s">
        <v>177</v>
      </c>
      <c r="D119" s="270" t="s">
        <v>185</v>
      </c>
      <c r="E119" s="271">
        <v>1</v>
      </c>
      <c r="F119" s="318"/>
      <c r="G119" s="330"/>
      <c r="H119" s="330"/>
      <c r="I119" s="319">
        <f>SUM(I120:I120)*R$1*U$1</f>
        <v>18.643968000000001</v>
      </c>
      <c r="J119" s="320">
        <v>2.02</v>
      </c>
      <c r="K119" s="319">
        <f>+J119*S$1*V$1</f>
        <v>4.1378083999999999</v>
      </c>
      <c r="L119" s="335">
        <v>9.5000000000000001E-2</v>
      </c>
      <c r="M119" s="319">
        <f>+L119*T$1*W$1</f>
        <v>0.29310350000000002</v>
      </c>
      <c r="N119" s="319">
        <f>+M119+K119+I119</f>
        <v>23.074879899999999</v>
      </c>
      <c r="O119" s="321">
        <f>+N119*E119</f>
        <v>23.074879899999999</v>
      </c>
      <c r="S119" s="322">
        <f>+I119*E119</f>
        <v>18.643968000000001</v>
      </c>
      <c r="T119" s="324">
        <f>+K119*E119</f>
        <v>4.1378083999999999</v>
      </c>
      <c r="U119" s="324">
        <f>+M119*E119</f>
        <v>0.29310350000000002</v>
      </c>
      <c r="V119" s="322"/>
    </row>
    <row r="120" spans="1:29" s="352" customFormat="1" ht="14.25" customHeight="1">
      <c r="A120" s="307"/>
      <c r="B120" s="347"/>
      <c r="C120" s="291" t="s">
        <v>177</v>
      </c>
      <c r="D120" s="270"/>
      <c r="E120" s="272"/>
      <c r="F120" s="317" t="s">
        <v>186</v>
      </c>
      <c r="G120" s="351">
        <v>1</v>
      </c>
      <c r="H120" s="319">
        <v>16</v>
      </c>
      <c r="I120" s="319">
        <f>+H120*G120</f>
        <v>16</v>
      </c>
      <c r="J120" s="320"/>
      <c r="K120" s="319"/>
      <c r="L120" s="320"/>
      <c r="M120" s="319"/>
      <c r="N120" s="319"/>
      <c r="O120" s="321"/>
      <c r="R120" s="353"/>
      <c r="S120" s="322">
        <f t="shared" ref="S120:S133" si="30">+I120*E120</f>
        <v>0</v>
      </c>
      <c r="T120" s="324">
        <f t="shared" ref="T120:T133" si="31">+K120*E120</f>
        <v>0</v>
      </c>
      <c r="U120" s="324">
        <f t="shared" ref="U120:U133" si="32">+M120*E120</f>
        <v>0</v>
      </c>
      <c r="V120" s="322"/>
    </row>
    <row r="121" spans="1:29" s="344" customFormat="1" ht="3" customHeight="1">
      <c r="A121" s="307"/>
      <c r="B121" s="308"/>
      <c r="C121" s="345"/>
      <c r="D121" s="328"/>
      <c r="E121" s="340"/>
      <c r="F121" s="339"/>
      <c r="G121" s="328"/>
      <c r="H121" s="340"/>
      <c r="I121" s="342"/>
      <c r="J121" s="320"/>
      <c r="K121" s="341"/>
      <c r="L121" s="320"/>
      <c r="M121" s="341"/>
      <c r="N121" s="342"/>
      <c r="O121" s="343"/>
      <c r="S121" s="322">
        <f t="shared" si="30"/>
        <v>0</v>
      </c>
      <c r="T121" s="324">
        <f t="shared" si="31"/>
        <v>0</v>
      </c>
      <c r="U121" s="324">
        <f t="shared" si="32"/>
        <v>0</v>
      </c>
      <c r="V121" s="322"/>
    </row>
    <row r="122" spans="1:29" s="346" customFormat="1" ht="24" customHeight="1">
      <c r="A122" s="24">
        <v>32</v>
      </c>
      <c r="B122" s="25" t="s">
        <v>111</v>
      </c>
      <c r="C122" s="71" t="s">
        <v>112</v>
      </c>
      <c r="D122" s="270" t="s">
        <v>28</v>
      </c>
      <c r="E122" s="271">
        <v>8</v>
      </c>
      <c r="F122" s="62"/>
      <c r="G122" s="97"/>
      <c r="H122" s="348"/>
      <c r="I122" s="319">
        <f>SUM(I123:I123)*R$1*U$1</f>
        <v>1.1652480000000001</v>
      </c>
      <c r="J122" s="79">
        <f>0.22*0.6</f>
        <v>0.13200000000000001</v>
      </c>
      <c r="K122" s="73">
        <f>+J122*S$1*V$1</f>
        <v>0.27039144000000004</v>
      </c>
      <c r="L122" s="349">
        <v>2.0000000000000001E-4</v>
      </c>
      <c r="M122" s="304">
        <f>+L122*T$1*W$1</f>
        <v>6.1706000000000011E-4</v>
      </c>
      <c r="N122" s="73">
        <f>+M122+K122+I122</f>
        <v>1.4362565</v>
      </c>
      <c r="O122" s="26">
        <f>+N122*E122</f>
        <v>11.490052</v>
      </c>
      <c r="S122" s="322">
        <f t="shared" si="30"/>
        <v>9.3219840000000005</v>
      </c>
      <c r="T122" s="324">
        <f t="shared" si="31"/>
        <v>2.1631315200000003</v>
      </c>
      <c r="U122" s="324">
        <f t="shared" si="32"/>
        <v>4.9364800000000009E-3</v>
      </c>
      <c r="V122" s="322"/>
    </row>
    <row r="123" spans="1:29" s="346" customFormat="1" ht="24" customHeight="1">
      <c r="A123" s="24"/>
      <c r="B123" s="272"/>
      <c r="C123" s="354" t="s">
        <v>178</v>
      </c>
      <c r="D123" s="270"/>
      <c r="E123" s="271"/>
      <c r="F123" s="80" t="s">
        <v>28</v>
      </c>
      <c r="G123" s="338">
        <v>1</v>
      </c>
      <c r="H123" s="73">
        <v>1</v>
      </c>
      <c r="I123" s="73">
        <f>+H123*G123</f>
        <v>1</v>
      </c>
      <c r="J123" s="79"/>
      <c r="K123" s="73"/>
      <c r="L123" s="349"/>
      <c r="M123" s="304"/>
      <c r="N123" s="73"/>
      <c r="O123" s="26"/>
      <c r="S123" s="322">
        <f t="shared" si="30"/>
        <v>0</v>
      </c>
      <c r="T123" s="324">
        <f t="shared" si="31"/>
        <v>0</v>
      </c>
      <c r="U123" s="324">
        <f t="shared" si="32"/>
        <v>0</v>
      </c>
      <c r="V123" s="322"/>
    </row>
    <row r="124" spans="1:29" s="346" customFormat="1" ht="4.5" customHeight="1">
      <c r="A124" s="24"/>
      <c r="B124" s="25"/>
      <c r="C124" s="71"/>
      <c r="D124" s="270"/>
      <c r="E124" s="271"/>
      <c r="F124" s="62"/>
      <c r="G124" s="97"/>
      <c r="H124" s="348"/>
      <c r="I124" s="243"/>
      <c r="J124" s="79"/>
      <c r="K124" s="73"/>
      <c r="L124" s="79"/>
      <c r="M124" s="348"/>
      <c r="N124" s="243"/>
      <c r="O124" s="350"/>
      <c r="S124" s="322">
        <f t="shared" si="30"/>
        <v>0</v>
      </c>
      <c r="T124" s="324">
        <f t="shared" si="31"/>
        <v>0</v>
      </c>
      <c r="U124" s="324">
        <f t="shared" si="32"/>
        <v>0</v>
      </c>
      <c r="V124" s="322"/>
    </row>
    <row r="125" spans="1:29" s="385" customFormat="1" ht="20.25" customHeight="1">
      <c r="A125" s="377">
        <v>33</v>
      </c>
      <c r="B125" s="378" t="s">
        <v>109</v>
      </c>
      <c r="C125" s="379" t="s">
        <v>110</v>
      </c>
      <c r="D125" s="270" t="s">
        <v>28</v>
      </c>
      <c r="E125" s="271">
        <v>2</v>
      </c>
      <c r="F125" s="380"/>
      <c r="G125" s="381"/>
      <c r="H125" s="382"/>
      <c r="I125" s="376">
        <f>SUM(I126)*R$1*U$1</f>
        <v>1.3982976</v>
      </c>
      <c r="J125" s="375">
        <v>0.29799999999999999</v>
      </c>
      <c r="K125" s="376">
        <f>+J125*S$1*V$1</f>
        <v>0.61042916000000003</v>
      </c>
      <c r="L125" s="383">
        <v>4.0000000000000002E-4</v>
      </c>
      <c r="M125" s="382">
        <f>+L125*T$1*W$1</f>
        <v>1.2341200000000002E-3</v>
      </c>
      <c r="N125" s="376">
        <f>+M125+K125+I125</f>
        <v>2.0099608799999999</v>
      </c>
      <c r="O125" s="384">
        <f>+N125*E125</f>
        <v>4.0199217599999999</v>
      </c>
      <c r="S125" s="322">
        <f t="shared" si="30"/>
        <v>2.7965952000000001</v>
      </c>
      <c r="T125" s="324">
        <f t="shared" si="31"/>
        <v>1.2208583200000001</v>
      </c>
      <c r="U125" s="324">
        <f t="shared" si="32"/>
        <v>2.4682400000000005E-3</v>
      </c>
      <c r="V125" s="386"/>
    </row>
    <row r="126" spans="1:29" s="385" customFormat="1" ht="20.25" customHeight="1">
      <c r="A126" s="377"/>
      <c r="B126" s="272"/>
      <c r="C126" s="291" t="s">
        <v>113</v>
      </c>
      <c r="D126" s="270"/>
      <c r="E126" s="271"/>
      <c r="F126" s="381" t="s">
        <v>28</v>
      </c>
      <c r="G126" s="387">
        <v>1</v>
      </c>
      <c r="H126" s="376">
        <v>1.2</v>
      </c>
      <c r="I126" s="376">
        <f>+H126*G126</f>
        <v>1.2</v>
      </c>
      <c r="J126" s="375"/>
      <c r="K126" s="376"/>
      <c r="L126" s="375"/>
      <c r="M126" s="376"/>
      <c r="N126" s="376"/>
      <c r="O126" s="384"/>
      <c r="S126" s="322">
        <f t="shared" si="30"/>
        <v>0</v>
      </c>
      <c r="T126" s="324">
        <f t="shared" si="31"/>
        <v>0</v>
      </c>
      <c r="U126" s="324">
        <f t="shared" si="32"/>
        <v>0</v>
      </c>
      <c r="V126" s="386"/>
    </row>
    <row r="127" spans="1:29" s="385" customFormat="1" ht="3.75" customHeight="1">
      <c r="A127" s="377"/>
      <c r="B127" s="272"/>
      <c r="C127" s="379"/>
      <c r="D127" s="270"/>
      <c r="E127" s="271"/>
      <c r="F127" s="388"/>
      <c r="G127" s="389"/>
      <c r="H127" s="390"/>
      <c r="I127" s="391"/>
      <c r="J127" s="375"/>
      <c r="K127" s="376"/>
      <c r="L127" s="375"/>
      <c r="M127" s="392"/>
      <c r="N127" s="393"/>
      <c r="O127" s="394"/>
      <c r="S127" s="322">
        <f t="shared" si="30"/>
        <v>0</v>
      </c>
      <c r="T127" s="324">
        <f t="shared" si="31"/>
        <v>0</v>
      </c>
      <c r="U127" s="324">
        <f t="shared" si="32"/>
        <v>0</v>
      </c>
      <c r="V127" s="386"/>
    </row>
    <row r="128" spans="1:29" s="385" customFormat="1" ht="20.25" customHeight="1">
      <c r="A128" s="377">
        <v>34</v>
      </c>
      <c r="B128" s="378" t="s">
        <v>109</v>
      </c>
      <c r="C128" s="379" t="s">
        <v>183</v>
      </c>
      <c r="D128" s="270" t="s">
        <v>28</v>
      </c>
      <c r="E128" s="271">
        <v>3</v>
      </c>
      <c r="F128" s="380"/>
      <c r="G128" s="381"/>
      <c r="H128" s="382"/>
      <c r="I128" s="376">
        <f>SUM(I129)*R$1*U$1</f>
        <v>1.1652480000000001</v>
      </c>
      <c r="J128" s="375">
        <v>0.29799999999999999</v>
      </c>
      <c r="K128" s="376">
        <f>+J128*S$1*V$1</f>
        <v>0.61042916000000003</v>
      </c>
      <c r="L128" s="383">
        <v>4.0000000000000002E-4</v>
      </c>
      <c r="M128" s="382">
        <f>+L128*T$1*W$1</f>
        <v>1.2341200000000002E-3</v>
      </c>
      <c r="N128" s="376">
        <f>+M128+K128+I128</f>
        <v>1.7769112800000002</v>
      </c>
      <c r="O128" s="384">
        <f>+N128*E128</f>
        <v>5.3307338400000006</v>
      </c>
      <c r="S128" s="402">
        <f t="shared" si="30"/>
        <v>3.4957440000000002</v>
      </c>
      <c r="T128" s="403">
        <f t="shared" si="31"/>
        <v>1.8312874800000001</v>
      </c>
      <c r="U128" s="403">
        <f t="shared" si="32"/>
        <v>3.7023600000000009E-3</v>
      </c>
      <c r="V128" s="386"/>
    </row>
    <row r="129" spans="1:149" s="385" customFormat="1" ht="20.25" customHeight="1">
      <c r="A129" s="377"/>
      <c r="B129" s="272"/>
      <c r="C129" s="291" t="s">
        <v>184</v>
      </c>
      <c r="D129" s="270"/>
      <c r="E129" s="272"/>
      <c r="F129" s="381" t="s">
        <v>28</v>
      </c>
      <c r="G129" s="387">
        <v>1</v>
      </c>
      <c r="H129" s="376">
        <v>1</v>
      </c>
      <c r="I129" s="376">
        <f>+H129*G129</f>
        <v>1</v>
      </c>
      <c r="J129" s="375"/>
      <c r="K129" s="376"/>
      <c r="L129" s="375"/>
      <c r="M129" s="376"/>
      <c r="N129" s="376"/>
      <c r="O129" s="384"/>
      <c r="S129" s="402">
        <f t="shared" si="30"/>
        <v>0</v>
      </c>
      <c r="T129" s="403">
        <f t="shared" si="31"/>
        <v>0</v>
      </c>
      <c r="U129" s="403">
        <f t="shared" si="32"/>
        <v>0</v>
      </c>
      <c r="V129" s="386"/>
    </row>
    <row r="130" spans="1:149" s="344" customFormat="1" ht="51" customHeight="1">
      <c r="A130" s="307">
        <v>35</v>
      </c>
      <c r="B130" s="308" t="s">
        <v>108</v>
      </c>
      <c r="C130" s="315" t="s">
        <v>191</v>
      </c>
      <c r="D130" s="270" t="s">
        <v>68</v>
      </c>
      <c r="E130" s="303">
        <v>4</v>
      </c>
      <c r="F130" s="340"/>
      <c r="G130" s="328"/>
      <c r="H130" s="341"/>
      <c r="I130" s="319">
        <f>SUM(I131:I133)*R$1*U$1</f>
        <v>29.058372000000006</v>
      </c>
      <c r="J130" s="320">
        <f>7.55*0.45</f>
        <v>3.3975</v>
      </c>
      <c r="K130" s="319">
        <f>+J130*S$1*V$1</f>
        <v>6.9595069500000006</v>
      </c>
      <c r="L130" s="320">
        <f>3.71*0.45</f>
        <v>1.6695</v>
      </c>
      <c r="M130" s="319">
        <f>+L130*T$1*W$1</f>
        <v>5.1509083499999999</v>
      </c>
      <c r="N130" s="319">
        <f>+M130+K130+I130</f>
        <v>41.168787300000005</v>
      </c>
      <c r="O130" s="321">
        <f>+N130*E130</f>
        <v>164.67514920000002</v>
      </c>
      <c r="S130" s="322">
        <f t="shared" si="30"/>
        <v>116.23348800000002</v>
      </c>
      <c r="T130" s="324">
        <f t="shared" si="31"/>
        <v>27.838027800000003</v>
      </c>
      <c r="U130" s="324">
        <f t="shared" si="32"/>
        <v>20.6036334</v>
      </c>
      <c r="V130" s="322"/>
    </row>
    <row r="131" spans="1:149" s="346" customFormat="1" ht="13.5" customHeight="1">
      <c r="A131" s="24"/>
      <c r="B131" s="272"/>
      <c r="C131" s="354" t="s">
        <v>179</v>
      </c>
      <c r="D131" s="270"/>
      <c r="E131" s="271"/>
      <c r="F131" s="99" t="s">
        <v>27</v>
      </c>
      <c r="G131" s="338">
        <f>180/E130</f>
        <v>45</v>
      </c>
      <c r="H131" s="81">
        <v>0.27800000000000002</v>
      </c>
      <c r="I131" s="73">
        <f>+H131*G131</f>
        <v>12.510000000000002</v>
      </c>
      <c r="J131" s="79"/>
      <c r="K131" s="348"/>
      <c r="L131" s="79"/>
      <c r="M131" s="348"/>
      <c r="N131" s="243"/>
      <c r="O131" s="350"/>
      <c r="S131" s="322">
        <f t="shared" si="30"/>
        <v>0</v>
      </c>
      <c r="T131" s="324">
        <f t="shared" si="31"/>
        <v>0</v>
      </c>
      <c r="U131" s="324">
        <f t="shared" si="32"/>
        <v>0</v>
      </c>
      <c r="V131" s="322"/>
    </row>
    <row r="132" spans="1:149" s="346" customFormat="1" ht="13.5" customHeight="1">
      <c r="A132" s="24"/>
      <c r="B132" s="272"/>
      <c r="C132" s="354" t="s">
        <v>180</v>
      </c>
      <c r="D132" s="270"/>
      <c r="E132" s="271"/>
      <c r="F132" s="99" t="s">
        <v>27</v>
      </c>
      <c r="G132" s="338">
        <f>150/E130</f>
        <v>37.5</v>
      </c>
      <c r="H132" s="81">
        <v>0.28100000000000003</v>
      </c>
      <c r="I132" s="73">
        <f>+H132*G132</f>
        <v>10.537500000000001</v>
      </c>
      <c r="J132" s="79"/>
      <c r="K132" s="348"/>
      <c r="L132" s="79"/>
      <c r="M132" s="348"/>
      <c r="N132" s="243"/>
      <c r="O132" s="350"/>
      <c r="S132" s="322">
        <f t="shared" si="30"/>
        <v>0</v>
      </c>
      <c r="T132" s="324">
        <f t="shared" si="31"/>
        <v>0</v>
      </c>
      <c r="U132" s="324">
        <f t="shared" si="32"/>
        <v>0</v>
      </c>
      <c r="V132" s="322"/>
    </row>
    <row r="133" spans="1:149" s="346" customFormat="1" ht="13.5" customHeight="1">
      <c r="A133" s="24"/>
      <c r="B133" s="365"/>
      <c r="C133" s="354" t="s">
        <v>181</v>
      </c>
      <c r="D133" s="270"/>
      <c r="E133" s="271"/>
      <c r="F133" s="99" t="s">
        <v>27</v>
      </c>
      <c r="G133" s="338">
        <f>70/E130</f>
        <v>17.5</v>
      </c>
      <c r="H133" s="81">
        <v>0.108</v>
      </c>
      <c r="I133" s="73">
        <f>+H133*G133</f>
        <v>1.89</v>
      </c>
      <c r="J133" s="79"/>
      <c r="K133" s="348"/>
      <c r="L133" s="79"/>
      <c r="M133" s="348"/>
      <c r="N133" s="243"/>
      <c r="O133" s="350"/>
      <c r="S133" s="322">
        <f t="shared" si="30"/>
        <v>0</v>
      </c>
      <c r="T133" s="324">
        <f t="shared" si="31"/>
        <v>0</v>
      </c>
      <c r="U133" s="324">
        <f t="shared" si="32"/>
        <v>0</v>
      </c>
      <c r="V133" s="322"/>
    </row>
    <row r="134" spans="1:149" s="346" customFormat="1" ht="6.75" customHeight="1">
      <c r="A134" s="24"/>
      <c r="B134" s="365"/>
      <c r="C134" s="354"/>
      <c r="D134" s="270"/>
      <c r="E134" s="271"/>
      <c r="F134" s="99"/>
      <c r="G134" s="338"/>
      <c r="H134" s="81"/>
      <c r="I134" s="73"/>
      <c r="J134" s="79"/>
      <c r="K134" s="348"/>
      <c r="L134" s="79"/>
      <c r="M134" s="348"/>
      <c r="N134" s="243"/>
      <c r="O134" s="350"/>
      <c r="S134" s="322"/>
      <c r="T134" s="324"/>
      <c r="U134" s="324"/>
      <c r="V134" s="322"/>
    </row>
    <row r="135" spans="1:149" s="385" customFormat="1" ht="23.25" customHeight="1">
      <c r="A135" s="398">
        <v>36</v>
      </c>
      <c r="B135" s="374" t="s">
        <v>187</v>
      </c>
      <c r="C135" s="379" t="s">
        <v>192</v>
      </c>
      <c r="D135" s="270" t="s">
        <v>28</v>
      </c>
      <c r="E135" s="271">
        <v>8</v>
      </c>
      <c r="F135" s="399"/>
      <c r="G135" s="400"/>
      <c r="H135" s="392"/>
      <c r="I135" s="319">
        <f>SUM(I136:I136)*R$1*U$1</f>
        <v>17.478720000000003</v>
      </c>
      <c r="J135" s="395">
        <v>0.86</v>
      </c>
      <c r="K135" s="376">
        <f>+J135*S$1*V$1</f>
        <v>1.7616412000000001</v>
      </c>
      <c r="L135" s="395">
        <v>0.28999999999999998</v>
      </c>
      <c r="M135" s="376">
        <f>+L135*T$1*W$1</f>
        <v>0.894737</v>
      </c>
      <c r="N135" s="376">
        <f>+M135+K135+I135</f>
        <v>20.135098200000002</v>
      </c>
      <c r="O135" s="384">
        <f>+N135*E135</f>
        <v>161.08078560000001</v>
      </c>
      <c r="S135" s="386">
        <f t="shared" ref="S135:S141" si="33">+I135*E135</f>
        <v>139.82976000000002</v>
      </c>
      <c r="T135" s="401">
        <f t="shared" ref="T135:T141" si="34">+K135*E135</f>
        <v>14.093129600000001</v>
      </c>
      <c r="U135" s="401">
        <f t="shared" ref="U135:U141" si="35">+M135*E135</f>
        <v>7.157896</v>
      </c>
      <c r="V135" s="386">
        <f>+N135*E135</f>
        <v>161.08078560000001</v>
      </c>
    </row>
    <row r="136" spans="1:149" s="385" customFormat="1" ht="15" customHeight="1">
      <c r="A136" s="398"/>
      <c r="B136" s="374"/>
      <c r="C136" s="291" t="s">
        <v>193</v>
      </c>
      <c r="D136" s="270"/>
      <c r="E136" s="272"/>
      <c r="F136" s="381" t="s">
        <v>28</v>
      </c>
      <c r="G136" s="387">
        <v>1</v>
      </c>
      <c r="H136" s="376">
        <v>15</v>
      </c>
      <c r="I136" s="376">
        <f>+H136*G136</f>
        <v>15</v>
      </c>
      <c r="J136" s="375"/>
      <c r="K136" s="376"/>
      <c r="L136" s="375"/>
      <c r="M136" s="376"/>
      <c r="N136" s="376"/>
      <c r="O136" s="384"/>
      <c r="S136" s="386">
        <f t="shared" si="33"/>
        <v>0</v>
      </c>
      <c r="T136" s="401">
        <f t="shared" si="34"/>
        <v>0</v>
      </c>
      <c r="U136" s="401">
        <f t="shared" si="35"/>
        <v>0</v>
      </c>
      <c r="V136" s="386">
        <f>+N136*E136</f>
        <v>0</v>
      </c>
    </row>
    <row r="137" spans="1:149" s="385" customFormat="1" ht="3" customHeight="1">
      <c r="A137" s="377"/>
      <c r="B137" s="374"/>
      <c r="C137" s="379"/>
      <c r="D137" s="270"/>
      <c r="E137" s="272"/>
      <c r="F137" s="396"/>
      <c r="G137" s="397"/>
      <c r="H137" s="392"/>
      <c r="I137" s="393"/>
      <c r="J137" s="375"/>
      <c r="K137" s="376"/>
      <c r="L137" s="375"/>
      <c r="M137" s="392"/>
      <c r="N137" s="393"/>
      <c r="O137" s="394"/>
      <c r="S137" s="386">
        <f t="shared" si="33"/>
        <v>0</v>
      </c>
      <c r="T137" s="401">
        <f t="shared" si="34"/>
        <v>0</v>
      </c>
      <c r="U137" s="401">
        <f t="shared" si="35"/>
        <v>0</v>
      </c>
      <c r="V137" s="386">
        <f>+N137*E137</f>
        <v>0</v>
      </c>
    </row>
    <row r="138" spans="1:149" s="385" customFormat="1">
      <c r="A138" s="377">
        <v>37</v>
      </c>
      <c r="B138" s="374" t="s">
        <v>182</v>
      </c>
      <c r="C138" s="379" t="s">
        <v>194</v>
      </c>
      <c r="D138" s="270" t="s">
        <v>28</v>
      </c>
      <c r="E138" s="271">
        <v>6</v>
      </c>
      <c r="F138" s="380"/>
      <c r="G138" s="381"/>
      <c r="H138" s="382"/>
      <c r="I138" s="319">
        <f>SUM(I139:I139)*R$1*U$1</f>
        <v>11.652480000000001</v>
      </c>
      <c r="J138" s="395">
        <v>0.67400000000000004</v>
      </c>
      <c r="K138" s="376">
        <f>+J138*S$1*V$1</f>
        <v>1.3806350800000002</v>
      </c>
      <c r="L138" s="395">
        <v>0.93600000000000005</v>
      </c>
      <c r="M138" s="319">
        <f>+L138*T$1*W$1</f>
        <v>2.8878408000000002</v>
      </c>
      <c r="N138" s="376">
        <f>+M138+K138+I138</f>
        <v>15.920955880000001</v>
      </c>
      <c r="O138" s="384">
        <f>+N138*E138</f>
        <v>95.525735280000006</v>
      </c>
      <c r="S138" s="322">
        <f t="shared" si="33"/>
        <v>69.914880000000011</v>
      </c>
      <c r="T138" s="324">
        <f t="shared" si="34"/>
        <v>8.2838104800000014</v>
      </c>
      <c r="U138" s="324">
        <f t="shared" si="35"/>
        <v>17.327044800000003</v>
      </c>
      <c r="V138" s="386"/>
    </row>
    <row r="139" spans="1:149" s="385" customFormat="1">
      <c r="A139" s="398"/>
      <c r="B139" s="374"/>
      <c r="C139" s="291" t="s">
        <v>195</v>
      </c>
      <c r="D139" s="270"/>
      <c r="E139" s="272"/>
      <c r="F139" s="381" t="s">
        <v>28</v>
      </c>
      <c r="G139" s="387">
        <v>1</v>
      </c>
      <c r="H139" s="376">
        <v>10</v>
      </c>
      <c r="I139" s="376">
        <f>+H139*G139</f>
        <v>10</v>
      </c>
      <c r="J139" s="375"/>
      <c r="K139" s="376"/>
      <c r="L139" s="375"/>
      <c r="M139" s="376"/>
      <c r="N139" s="376"/>
      <c r="O139" s="384"/>
      <c r="S139" s="322">
        <f t="shared" si="33"/>
        <v>0</v>
      </c>
      <c r="T139" s="324">
        <f t="shared" si="34"/>
        <v>0</v>
      </c>
      <c r="U139" s="324">
        <f t="shared" si="35"/>
        <v>0</v>
      </c>
      <c r="V139" s="386"/>
    </row>
    <row r="140" spans="1:149" s="23" customFormat="1" ht="15.75" customHeight="1">
      <c r="A140" s="24"/>
      <c r="B140" s="308"/>
      <c r="C140" s="312" t="s">
        <v>86</v>
      </c>
      <c r="D140" s="313"/>
      <c r="E140" s="13"/>
      <c r="F140" s="292"/>
      <c r="G140" s="27"/>
      <c r="H140" s="73"/>
      <c r="I140" s="73"/>
      <c r="J140" s="73"/>
      <c r="K140" s="73"/>
      <c r="L140" s="73"/>
      <c r="M140" s="73"/>
      <c r="N140" s="73"/>
      <c r="O140" s="26">
        <f>SUM(O117:O139)</f>
        <v>501.16463678000002</v>
      </c>
      <c r="P140" s="74"/>
      <c r="Q140" s="74"/>
      <c r="R140" s="75"/>
      <c r="S140" s="75">
        <f t="shared" si="33"/>
        <v>0</v>
      </c>
      <c r="T140" s="75">
        <f t="shared" si="34"/>
        <v>0</v>
      </c>
      <c r="U140" s="75">
        <f t="shared" si="35"/>
        <v>0</v>
      </c>
      <c r="V140" s="76"/>
      <c r="W140" s="76"/>
      <c r="X140" s="77"/>
    </row>
    <row r="141" spans="1:149" s="23" customFormat="1" ht="18" customHeight="1">
      <c r="A141" s="24"/>
      <c r="B141" s="308"/>
      <c r="C141" s="312" t="s">
        <v>87</v>
      </c>
      <c r="D141" s="313"/>
      <c r="E141" s="13"/>
      <c r="F141" s="292"/>
      <c r="G141" s="27"/>
      <c r="H141" s="73"/>
      <c r="I141" s="73"/>
      <c r="J141" s="73"/>
      <c r="K141" s="73"/>
      <c r="L141" s="73"/>
      <c r="M141" s="73"/>
      <c r="N141" s="73"/>
      <c r="O141" s="314">
        <f>+O140/O$143</f>
        <v>9.8768977977298986E-2</v>
      </c>
      <c r="P141" s="74"/>
      <c r="Q141" s="337"/>
      <c r="R141" s="75"/>
      <c r="S141" s="75">
        <f t="shared" si="33"/>
        <v>0</v>
      </c>
      <c r="T141" s="75">
        <f t="shared" si="34"/>
        <v>0</v>
      </c>
      <c r="U141" s="75">
        <f t="shared" si="35"/>
        <v>0</v>
      </c>
      <c r="V141" s="76"/>
      <c r="W141" s="76"/>
      <c r="X141" s="77"/>
    </row>
    <row r="142" spans="1:149" s="346" customFormat="1" ht="13.5" customHeight="1" thickBot="1">
      <c r="A142" s="24"/>
      <c r="B142" s="365"/>
      <c r="C142" s="354"/>
      <c r="D142" s="270"/>
      <c r="E142" s="271"/>
      <c r="F142" s="99"/>
      <c r="G142" s="338"/>
      <c r="H142" s="81"/>
      <c r="I142" s="73"/>
      <c r="J142" s="79"/>
      <c r="K142" s="348"/>
      <c r="L142" s="79"/>
      <c r="M142" s="348"/>
      <c r="N142" s="243"/>
      <c r="O142" s="350"/>
      <c r="S142" s="322"/>
      <c r="T142" s="324"/>
      <c r="U142" s="324"/>
      <c r="V142" s="322"/>
    </row>
    <row r="143" spans="1:149" s="32" customFormat="1" ht="15" customHeight="1" thickBot="1">
      <c r="A143" s="29"/>
      <c r="B143" s="30"/>
      <c r="C143" s="31" t="s">
        <v>0</v>
      </c>
      <c r="D143" s="56"/>
      <c r="E143" s="56"/>
      <c r="F143" s="57"/>
      <c r="G143" s="56"/>
      <c r="H143" s="58"/>
      <c r="I143" s="56"/>
      <c r="J143" s="56"/>
      <c r="K143" s="240"/>
      <c r="L143" s="240"/>
      <c r="M143" s="240"/>
      <c r="N143" s="241"/>
      <c r="O143" s="242">
        <f>+O114+O89+O82+O48+O28+O140</f>
        <v>5074.1097766060457</v>
      </c>
      <c r="P143" s="54"/>
      <c r="Q143" s="360">
        <f>+O115+O90+O83+O49+O29+O141</f>
        <v>0.99999999999999989</v>
      </c>
      <c r="R143" s="75"/>
      <c r="S143" s="75">
        <f>SUM(S20:S115)</f>
        <v>3255.7917670992456</v>
      </c>
      <c r="T143" s="75">
        <f>SUM(T20:T115)</f>
        <v>929.93794250719998</v>
      </c>
      <c r="U143" s="75">
        <f>SUM(U20:U115)</f>
        <v>387.21543021960008</v>
      </c>
      <c r="V143" s="77">
        <f>+U143+T143+S143</f>
        <v>4572.9451398260462</v>
      </c>
      <c r="W143" s="76"/>
      <c r="X143" s="77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23"/>
      <c r="BT143" s="23"/>
      <c r="BU143" s="23"/>
      <c r="BV143" s="23"/>
      <c r="BW143" s="23"/>
      <c r="BX143" s="23"/>
      <c r="BY143" s="23"/>
      <c r="BZ143" s="23"/>
      <c r="CA143" s="23"/>
      <c r="CB143" s="23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3"/>
      <c r="CP143" s="23"/>
      <c r="CQ143" s="23"/>
      <c r="CR143" s="23"/>
      <c r="CS143" s="23"/>
      <c r="CT143" s="23"/>
      <c r="CU143" s="23"/>
      <c r="CV143" s="23"/>
      <c r="CW143" s="23"/>
      <c r="CX143" s="23"/>
      <c r="CY143" s="23"/>
      <c r="CZ143" s="23"/>
      <c r="DA143" s="23"/>
      <c r="DB143" s="23"/>
      <c r="DC143" s="23"/>
      <c r="DD143" s="23"/>
      <c r="DE143" s="23"/>
      <c r="DF143" s="23"/>
      <c r="DG143" s="23"/>
      <c r="DH143" s="23"/>
      <c r="DI143" s="23"/>
      <c r="DJ143" s="23"/>
      <c r="DK143" s="23"/>
      <c r="DL143" s="23"/>
      <c r="DM143" s="23"/>
      <c r="DN143" s="23"/>
      <c r="DO143" s="23"/>
      <c r="DP143" s="23"/>
      <c r="DQ143" s="23"/>
      <c r="DR143" s="23"/>
      <c r="DS143" s="23"/>
      <c r="DT143" s="23"/>
      <c r="DU143" s="23"/>
      <c r="DV143" s="23"/>
      <c r="DW143" s="23"/>
      <c r="DX143" s="23"/>
      <c r="DY143" s="23"/>
      <c r="DZ143" s="23"/>
      <c r="EA143" s="23"/>
      <c r="EB143" s="23"/>
      <c r="EC143" s="23"/>
      <c r="ED143" s="23"/>
      <c r="EE143" s="23"/>
      <c r="EF143" s="23"/>
      <c r="EG143" s="23"/>
      <c r="EH143" s="23"/>
      <c r="EI143" s="23"/>
      <c r="EJ143" s="23"/>
      <c r="EK143" s="23"/>
      <c r="EL143" s="23"/>
      <c r="EM143" s="23"/>
      <c r="EN143" s="23"/>
      <c r="EO143" s="23"/>
      <c r="EP143" s="23"/>
      <c r="EQ143" s="23"/>
      <c r="ER143" s="23"/>
      <c r="ES143" s="23"/>
    </row>
    <row r="144" spans="1:149" s="32" customFormat="1" ht="3.75" customHeight="1" thickBot="1">
      <c r="A144" s="33"/>
      <c r="B144" s="34"/>
      <c r="C144" s="35"/>
      <c r="D144" s="59"/>
      <c r="E144" s="59"/>
      <c r="F144" s="60"/>
      <c r="G144" s="59"/>
      <c r="H144" s="61"/>
      <c r="I144" s="59"/>
      <c r="J144" s="59"/>
      <c r="K144" s="248"/>
      <c r="L144" s="248"/>
      <c r="M144" s="248"/>
      <c r="N144" s="249"/>
      <c r="O144" s="250"/>
      <c r="P144" s="54"/>
      <c r="Q144" s="54"/>
      <c r="R144" s="75"/>
      <c r="S144" s="75"/>
      <c r="T144" s="75"/>
      <c r="U144" s="75"/>
      <c r="V144" s="76"/>
      <c r="W144" s="76"/>
      <c r="X144" s="77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  <c r="BP144" s="23"/>
      <c r="BQ144" s="23"/>
      <c r="BR144" s="23"/>
      <c r="BS144" s="23"/>
      <c r="BT144" s="23"/>
      <c r="BU144" s="23"/>
      <c r="BV144" s="23"/>
      <c r="BW144" s="23"/>
      <c r="BX144" s="23"/>
      <c r="BY144" s="23"/>
      <c r="BZ144" s="23"/>
      <c r="CA144" s="23"/>
      <c r="CB144" s="23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3"/>
      <c r="CP144" s="23"/>
      <c r="CQ144" s="23"/>
      <c r="CR144" s="23"/>
      <c r="CS144" s="23"/>
      <c r="CT144" s="23"/>
      <c r="CU144" s="23"/>
      <c r="CV144" s="23"/>
      <c r="CW144" s="23"/>
      <c r="CX144" s="23"/>
      <c r="CY144" s="23"/>
      <c r="CZ144" s="23"/>
      <c r="DA144" s="23"/>
      <c r="DB144" s="23"/>
      <c r="DC144" s="23"/>
      <c r="DD144" s="23"/>
      <c r="DE144" s="23"/>
      <c r="DF144" s="23"/>
      <c r="DG144" s="23"/>
      <c r="DH144" s="23"/>
      <c r="DI144" s="23"/>
      <c r="DJ144" s="23"/>
      <c r="DK144" s="23"/>
      <c r="DL144" s="23"/>
      <c r="DM144" s="23"/>
      <c r="DN144" s="23"/>
      <c r="DO144" s="23"/>
      <c r="DP144" s="23"/>
      <c r="DQ144" s="23"/>
      <c r="DR144" s="23"/>
      <c r="DS144" s="23"/>
      <c r="DT144" s="23"/>
      <c r="DU144" s="23"/>
      <c r="DV144" s="23"/>
      <c r="DW144" s="23"/>
      <c r="DX144" s="23"/>
      <c r="DY144" s="23"/>
      <c r="DZ144" s="23"/>
      <c r="EA144" s="23"/>
      <c r="EB144" s="23"/>
      <c r="EC144" s="23"/>
      <c r="ED144" s="23"/>
      <c r="EE144" s="23"/>
      <c r="EF144" s="23"/>
      <c r="EG144" s="23"/>
      <c r="EH144" s="23"/>
      <c r="EI144" s="23"/>
      <c r="EJ144" s="23"/>
      <c r="EK144" s="23"/>
      <c r="EL144" s="23"/>
      <c r="EM144" s="23"/>
      <c r="EN144" s="23"/>
      <c r="EO144" s="23"/>
      <c r="EP144" s="23"/>
      <c r="EQ144" s="23"/>
      <c r="ER144" s="23"/>
      <c r="ES144" s="23"/>
    </row>
    <row r="145" spans="1:149" s="54" customFormat="1" ht="15">
      <c r="A145" s="36"/>
      <c r="B145" s="37"/>
      <c r="C145" s="38" t="s">
        <v>20</v>
      </c>
      <c r="D145" s="251"/>
      <c r="E145" s="252"/>
      <c r="F145" s="253"/>
      <c r="G145" s="254"/>
      <c r="H145" s="255"/>
      <c r="I145" s="254"/>
      <c r="J145" s="254"/>
      <c r="K145" s="254"/>
      <c r="L145" s="254"/>
      <c r="M145" s="254"/>
      <c r="N145" s="256"/>
      <c r="O145" s="244">
        <f>+O143</f>
        <v>5074.1097766060457</v>
      </c>
      <c r="R145" s="39"/>
      <c r="S145" s="40"/>
      <c r="T145" s="40"/>
      <c r="U145" s="40"/>
      <c r="V145" s="295"/>
      <c r="W145" s="74"/>
      <c r="X145" s="86"/>
      <c r="Y145" s="74"/>
      <c r="Z145" s="74"/>
      <c r="AA145" s="74"/>
      <c r="AB145" s="74"/>
      <c r="AC145" s="74"/>
      <c r="AD145" s="74"/>
      <c r="AE145" s="74"/>
      <c r="AF145" s="74"/>
      <c r="AG145" s="74"/>
      <c r="AH145" s="74"/>
      <c r="AI145" s="74"/>
      <c r="AJ145" s="74"/>
      <c r="AK145" s="74"/>
      <c r="AL145" s="74"/>
      <c r="AM145" s="74"/>
      <c r="AN145" s="74"/>
      <c r="AO145" s="74"/>
      <c r="AP145" s="74"/>
      <c r="AQ145" s="74"/>
      <c r="AR145" s="74"/>
      <c r="AS145" s="74"/>
      <c r="AT145" s="74"/>
      <c r="AU145" s="74"/>
      <c r="AV145" s="74"/>
      <c r="AW145" s="74"/>
      <c r="AX145" s="74"/>
      <c r="AY145" s="74"/>
      <c r="AZ145" s="74"/>
      <c r="BA145" s="74"/>
      <c r="BB145" s="74"/>
      <c r="BC145" s="74"/>
      <c r="BD145" s="74"/>
      <c r="BE145" s="74"/>
      <c r="BF145" s="74"/>
      <c r="BG145" s="74"/>
      <c r="BH145" s="74"/>
      <c r="BI145" s="74"/>
      <c r="BJ145" s="74"/>
      <c r="BK145" s="74"/>
      <c r="BL145" s="74"/>
      <c r="BM145" s="74"/>
      <c r="BN145" s="74"/>
      <c r="BO145" s="74"/>
      <c r="BP145" s="74"/>
      <c r="BQ145" s="74"/>
      <c r="BR145" s="74"/>
      <c r="BS145" s="74"/>
      <c r="BT145" s="74"/>
      <c r="BU145" s="74"/>
      <c r="BV145" s="74"/>
      <c r="BW145" s="74"/>
      <c r="BX145" s="74"/>
      <c r="BY145" s="74"/>
      <c r="BZ145" s="74"/>
      <c r="CA145" s="74"/>
      <c r="CB145" s="74"/>
      <c r="CC145" s="74"/>
      <c r="CD145" s="74"/>
      <c r="CE145" s="74"/>
      <c r="CF145" s="74"/>
      <c r="CG145" s="74"/>
      <c r="CH145" s="74"/>
      <c r="CI145" s="74"/>
      <c r="CJ145" s="74"/>
      <c r="CK145" s="74"/>
      <c r="CL145" s="74"/>
      <c r="CM145" s="74"/>
      <c r="CN145" s="74"/>
      <c r="CO145" s="74"/>
      <c r="CP145" s="74"/>
      <c r="CQ145" s="74"/>
      <c r="CR145" s="74"/>
      <c r="CS145" s="74"/>
      <c r="CT145" s="74"/>
      <c r="CU145" s="74"/>
      <c r="CV145" s="74"/>
      <c r="CW145" s="74"/>
      <c r="CX145" s="74"/>
      <c r="CY145" s="74"/>
      <c r="CZ145" s="74"/>
      <c r="DA145" s="74"/>
      <c r="DB145" s="74"/>
      <c r="DC145" s="74"/>
      <c r="DD145" s="74"/>
      <c r="DE145" s="74"/>
      <c r="DF145" s="74"/>
      <c r="DG145" s="74"/>
      <c r="DH145" s="74"/>
      <c r="DI145" s="74"/>
      <c r="DJ145" s="74"/>
      <c r="DK145" s="74"/>
      <c r="DL145" s="74"/>
      <c r="DM145" s="74"/>
      <c r="DN145" s="74"/>
      <c r="DO145" s="74"/>
      <c r="DP145" s="74"/>
      <c r="DQ145" s="74"/>
      <c r="DR145" s="74"/>
      <c r="DS145" s="74"/>
      <c r="DT145" s="74"/>
      <c r="DU145" s="74"/>
      <c r="DV145" s="74"/>
      <c r="DW145" s="74"/>
      <c r="DX145" s="74"/>
      <c r="DY145" s="74"/>
      <c r="DZ145" s="74"/>
      <c r="EA145" s="74"/>
      <c r="EB145" s="74"/>
      <c r="EC145" s="74"/>
      <c r="ED145" s="74"/>
      <c r="EE145" s="74"/>
      <c r="EF145" s="74"/>
      <c r="EG145" s="74"/>
      <c r="EH145" s="74"/>
      <c r="EI145" s="74"/>
      <c r="EJ145" s="74"/>
      <c r="EK145" s="74"/>
      <c r="EL145" s="74"/>
      <c r="EM145" s="74"/>
      <c r="EN145" s="74"/>
      <c r="EO145" s="74"/>
      <c r="EP145" s="74"/>
      <c r="EQ145" s="74"/>
      <c r="ER145" s="74"/>
      <c r="ES145" s="74"/>
    </row>
    <row r="146" spans="1:149" s="54" customFormat="1" ht="15">
      <c r="A146" s="41"/>
      <c r="B146" s="42"/>
      <c r="C146" s="43" t="s">
        <v>21</v>
      </c>
      <c r="D146" s="296">
        <v>0.13300000000000001</v>
      </c>
      <c r="E146" s="257"/>
      <c r="F146" s="258"/>
      <c r="G146" s="259"/>
      <c r="H146" s="260"/>
      <c r="I146" s="259"/>
      <c r="J146" s="259"/>
      <c r="K146" s="259"/>
      <c r="L146" s="259"/>
      <c r="M146" s="259"/>
      <c r="N146" s="261"/>
      <c r="O146" s="245">
        <f>+O145*D146</f>
        <v>674.85660028860411</v>
      </c>
      <c r="R146" s="48"/>
      <c r="S146" s="48"/>
      <c r="T146" s="48"/>
      <c r="U146" s="75"/>
      <c r="V146" s="86"/>
      <c r="W146" s="74"/>
      <c r="X146" s="86"/>
      <c r="Y146" s="74"/>
      <c r="Z146" s="74"/>
      <c r="AA146" s="74"/>
      <c r="AB146" s="74"/>
      <c r="AC146" s="74"/>
      <c r="AD146" s="74"/>
      <c r="AE146" s="74"/>
      <c r="AF146" s="74"/>
      <c r="AG146" s="74"/>
      <c r="AH146" s="74"/>
      <c r="AI146" s="74"/>
      <c r="AJ146" s="74"/>
      <c r="AK146" s="74"/>
      <c r="AL146" s="74"/>
      <c r="AM146" s="74"/>
      <c r="AN146" s="74"/>
      <c r="AO146" s="74"/>
      <c r="AP146" s="74"/>
      <c r="AQ146" s="74"/>
      <c r="AR146" s="74"/>
      <c r="AS146" s="74"/>
      <c r="AT146" s="74"/>
      <c r="AU146" s="74"/>
      <c r="AV146" s="74"/>
      <c r="AW146" s="74"/>
      <c r="AX146" s="74"/>
      <c r="AY146" s="74"/>
      <c r="AZ146" s="74"/>
      <c r="BA146" s="74"/>
      <c r="BB146" s="74"/>
      <c r="BC146" s="74"/>
      <c r="BD146" s="74"/>
      <c r="BE146" s="74"/>
      <c r="BF146" s="74"/>
      <c r="BG146" s="74"/>
      <c r="BH146" s="74"/>
      <c r="BI146" s="74"/>
      <c r="BJ146" s="74"/>
      <c r="BK146" s="74"/>
      <c r="BL146" s="74"/>
      <c r="BM146" s="74"/>
      <c r="BN146" s="74"/>
      <c r="BO146" s="74"/>
      <c r="BP146" s="74"/>
      <c r="BQ146" s="74"/>
      <c r="BR146" s="74"/>
      <c r="BS146" s="74"/>
      <c r="BT146" s="74"/>
      <c r="BU146" s="74"/>
      <c r="BV146" s="74"/>
      <c r="BW146" s="74"/>
      <c r="BX146" s="74"/>
      <c r="BY146" s="74"/>
      <c r="BZ146" s="74"/>
      <c r="CA146" s="74"/>
      <c r="CB146" s="74"/>
      <c r="CC146" s="74"/>
      <c r="CD146" s="74"/>
      <c r="CE146" s="74"/>
      <c r="CF146" s="74"/>
      <c r="CG146" s="74"/>
      <c r="CH146" s="74"/>
      <c r="CI146" s="74"/>
      <c r="CJ146" s="74"/>
      <c r="CK146" s="74"/>
      <c r="CL146" s="74"/>
      <c r="CM146" s="74"/>
      <c r="CN146" s="74"/>
      <c r="CO146" s="74"/>
      <c r="CP146" s="74"/>
      <c r="CQ146" s="74"/>
      <c r="CR146" s="74"/>
      <c r="CS146" s="74"/>
      <c r="CT146" s="74"/>
      <c r="CU146" s="74"/>
      <c r="CV146" s="74"/>
      <c r="CW146" s="74"/>
      <c r="CX146" s="74"/>
      <c r="CY146" s="74"/>
      <c r="CZ146" s="74"/>
      <c r="DA146" s="74"/>
      <c r="DB146" s="74"/>
      <c r="DC146" s="74"/>
      <c r="DD146" s="74"/>
      <c r="DE146" s="74"/>
      <c r="DF146" s="74"/>
      <c r="DG146" s="74"/>
      <c r="DH146" s="74"/>
      <c r="DI146" s="74"/>
      <c r="DJ146" s="74"/>
      <c r="DK146" s="74"/>
      <c r="DL146" s="74"/>
      <c r="DM146" s="74"/>
      <c r="DN146" s="74"/>
      <c r="DO146" s="74"/>
      <c r="DP146" s="74"/>
      <c r="DQ146" s="74"/>
      <c r="DR146" s="74"/>
      <c r="DS146" s="74"/>
      <c r="DT146" s="74"/>
      <c r="DU146" s="74"/>
      <c r="DV146" s="74"/>
      <c r="DW146" s="74"/>
      <c r="DX146" s="74"/>
      <c r="DY146" s="74"/>
      <c r="DZ146" s="74"/>
      <c r="EA146" s="74"/>
      <c r="EB146" s="74"/>
      <c r="EC146" s="74"/>
      <c r="ED146" s="74"/>
      <c r="EE146" s="74"/>
      <c r="EF146" s="74"/>
      <c r="EG146" s="74"/>
      <c r="EH146" s="74"/>
      <c r="EI146" s="74"/>
      <c r="EJ146" s="74"/>
      <c r="EK146" s="74"/>
      <c r="EL146" s="74"/>
      <c r="EM146" s="74"/>
      <c r="EN146" s="74"/>
      <c r="EO146" s="74"/>
      <c r="EP146" s="74"/>
      <c r="EQ146" s="74"/>
      <c r="ER146" s="74"/>
      <c r="ES146" s="74"/>
    </row>
    <row r="147" spans="1:149" s="54" customFormat="1" ht="15">
      <c r="A147" s="41"/>
      <c r="B147" s="42"/>
      <c r="C147" s="49" t="s">
        <v>20</v>
      </c>
      <c r="D147" s="87"/>
      <c r="E147" s="259"/>
      <c r="F147" s="258"/>
      <c r="G147" s="259"/>
      <c r="H147" s="260"/>
      <c r="I147" s="259"/>
      <c r="J147" s="259"/>
      <c r="K147" s="259"/>
      <c r="L147" s="259"/>
      <c r="M147" s="259"/>
      <c r="N147" s="261"/>
      <c r="O147" s="246">
        <f>+O145+O146</f>
        <v>5748.9663768946502</v>
      </c>
      <c r="R147" s="39"/>
      <c r="S147" s="39"/>
      <c r="T147" s="39"/>
      <c r="U147" s="39"/>
      <c r="V147" s="74"/>
      <c r="W147" s="74"/>
      <c r="X147" s="86"/>
      <c r="Y147" s="74"/>
      <c r="Z147" s="74"/>
      <c r="AA147" s="74"/>
      <c r="AB147" s="74"/>
      <c r="AC147" s="74"/>
      <c r="AD147" s="74"/>
      <c r="AE147" s="74"/>
      <c r="AF147" s="74"/>
      <c r="AG147" s="74"/>
      <c r="AH147" s="74"/>
      <c r="AI147" s="74"/>
      <c r="AJ147" s="74"/>
      <c r="AK147" s="74"/>
      <c r="AL147" s="74"/>
      <c r="AM147" s="74"/>
      <c r="AN147" s="74"/>
      <c r="AO147" s="74"/>
      <c r="AP147" s="74"/>
      <c r="AQ147" s="74"/>
      <c r="AR147" s="74"/>
      <c r="AS147" s="74"/>
      <c r="AT147" s="74"/>
      <c r="AU147" s="74"/>
      <c r="AV147" s="74"/>
      <c r="AW147" s="74"/>
      <c r="AX147" s="74"/>
      <c r="AY147" s="74"/>
      <c r="AZ147" s="74"/>
      <c r="BA147" s="74"/>
      <c r="BB147" s="74"/>
      <c r="BC147" s="74"/>
      <c r="BD147" s="74"/>
      <c r="BE147" s="74"/>
      <c r="BF147" s="74"/>
      <c r="BG147" s="74"/>
      <c r="BH147" s="74"/>
      <c r="BI147" s="74"/>
      <c r="BJ147" s="74"/>
      <c r="BK147" s="74"/>
      <c r="BL147" s="74"/>
      <c r="BM147" s="74"/>
      <c r="BN147" s="74"/>
      <c r="BO147" s="74"/>
      <c r="BP147" s="74"/>
      <c r="BQ147" s="74"/>
      <c r="BR147" s="74"/>
      <c r="BS147" s="74"/>
      <c r="BT147" s="74"/>
      <c r="BU147" s="74"/>
      <c r="BV147" s="74"/>
      <c r="BW147" s="74"/>
      <c r="BX147" s="74"/>
      <c r="BY147" s="74"/>
      <c r="BZ147" s="74"/>
      <c r="CA147" s="74"/>
      <c r="CB147" s="74"/>
      <c r="CC147" s="74"/>
      <c r="CD147" s="74"/>
      <c r="CE147" s="74"/>
      <c r="CF147" s="74"/>
      <c r="CG147" s="74"/>
      <c r="CH147" s="74"/>
      <c r="CI147" s="74"/>
      <c r="CJ147" s="74"/>
      <c r="CK147" s="74"/>
      <c r="CL147" s="74"/>
      <c r="CM147" s="74"/>
      <c r="CN147" s="74"/>
      <c r="CO147" s="74"/>
      <c r="CP147" s="74"/>
      <c r="CQ147" s="74"/>
      <c r="CR147" s="74"/>
      <c r="CS147" s="74"/>
      <c r="CT147" s="74"/>
      <c r="CU147" s="74"/>
      <c r="CV147" s="74"/>
      <c r="CW147" s="74"/>
      <c r="CX147" s="74"/>
      <c r="CY147" s="74"/>
      <c r="CZ147" s="74"/>
      <c r="DA147" s="74"/>
      <c r="DB147" s="74"/>
      <c r="DC147" s="74"/>
      <c r="DD147" s="74"/>
      <c r="DE147" s="74"/>
      <c r="DF147" s="74"/>
      <c r="DG147" s="74"/>
      <c r="DH147" s="74"/>
      <c r="DI147" s="74"/>
      <c r="DJ147" s="74"/>
      <c r="DK147" s="74"/>
      <c r="DL147" s="74"/>
      <c r="DM147" s="74"/>
      <c r="DN147" s="74"/>
      <c r="DO147" s="74"/>
      <c r="DP147" s="74"/>
      <c r="DQ147" s="74"/>
      <c r="DR147" s="74"/>
      <c r="DS147" s="74"/>
      <c r="DT147" s="74"/>
      <c r="DU147" s="74"/>
      <c r="DV147" s="74"/>
      <c r="DW147" s="74"/>
      <c r="DX147" s="74"/>
      <c r="DY147" s="74"/>
      <c r="DZ147" s="74"/>
      <c r="EA147" s="74"/>
      <c r="EB147" s="74"/>
      <c r="EC147" s="74"/>
      <c r="ED147" s="74"/>
      <c r="EE147" s="74"/>
      <c r="EF147" s="74"/>
      <c r="EG147" s="74"/>
      <c r="EH147" s="74"/>
      <c r="EI147" s="74"/>
      <c r="EJ147" s="74"/>
      <c r="EK147" s="74"/>
      <c r="EL147" s="74"/>
      <c r="EM147" s="74"/>
      <c r="EN147" s="74"/>
      <c r="EO147" s="74"/>
      <c r="EP147" s="74"/>
      <c r="EQ147" s="74"/>
      <c r="ER147" s="74"/>
      <c r="ES147" s="74"/>
    </row>
    <row r="148" spans="1:149" s="54" customFormat="1" ht="15">
      <c r="A148" s="41"/>
      <c r="B148" s="42"/>
      <c r="C148" s="43" t="s">
        <v>22</v>
      </c>
      <c r="D148" s="296">
        <v>0.11</v>
      </c>
      <c r="E148" s="259"/>
      <c r="F148" s="258"/>
      <c r="G148" s="259"/>
      <c r="H148" s="260"/>
      <c r="I148" s="259"/>
      <c r="J148" s="259"/>
      <c r="K148" s="259"/>
      <c r="L148" s="259"/>
      <c r="M148" s="259"/>
      <c r="N148" s="261"/>
      <c r="O148" s="245">
        <f>+O147*D148</f>
        <v>632.38630145841148</v>
      </c>
      <c r="R148" s="48"/>
      <c r="S148" s="48"/>
      <c r="T148" s="48"/>
      <c r="U148" s="75"/>
      <c r="V148" s="74"/>
      <c r="W148" s="74"/>
      <c r="X148" s="86"/>
      <c r="Y148" s="74"/>
      <c r="Z148" s="74"/>
      <c r="AA148" s="74"/>
      <c r="AB148" s="74"/>
      <c r="AC148" s="74"/>
      <c r="AD148" s="74"/>
      <c r="AE148" s="74"/>
      <c r="AF148" s="74"/>
      <c r="AG148" s="74"/>
      <c r="AH148" s="74"/>
      <c r="AI148" s="74"/>
      <c r="AJ148" s="74"/>
      <c r="AK148" s="74"/>
      <c r="AL148" s="74"/>
      <c r="AM148" s="74"/>
      <c r="AN148" s="74"/>
      <c r="AO148" s="74"/>
      <c r="AP148" s="74"/>
      <c r="AQ148" s="74"/>
      <c r="AR148" s="74"/>
      <c r="AS148" s="74"/>
      <c r="AT148" s="74"/>
      <c r="AU148" s="74"/>
      <c r="AV148" s="74"/>
      <c r="AW148" s="74"/>
      <c r="AX148" s="74"/>
      <c r="AY148" s="74"/>
      <c r="AZ148" s="74"/>
      <c r="BA148" s="74"/>
      <c r="BB148" s="74"/>
      <c r="BC148" s="74"/>
      <c r="BD148" s="74"/>
      <c r="BE148" s="74"/>
      <c r="BF148" s="74"/>
      <c r="BG148" s="74"/>
      <c r="BH148" s="74"/>
      <c r="BI148" s="74"/>
      <c r="BJ148" s="74"/>
      <c r="BK148" s="74"/>
      <c r="BL148" s="74"/>
      <c r="BM148" s="74"/>
      <c r="BN148" s="74"/>
      <c r="BO148" s="74"/>
      <c r="BP148" s="74"/>
      <c r="BQ148" s="74"/>
      <c r="BR148" s="74"/>
      <c r="BS148" s="74"/>
      <c r="BT148" s="74"/>
      <c r="BU148" s="74"/>
      <c r="BV148" s="74"/>
      <c r="BW148" s="74"/>
      <c r="BX148" s="74"/>
      <c r="BY148" s="74"/>
      <c r="BZ148" s="74"/>
      <c r="CA148" s="74"/>
      <c r="CB148" s="74"/>
      <c r="CC148" s="74"/>
      <c r="CD148" s="74"/>
      <c r="CE148" s="74"/>
      <c r="CF148" s="74"/>
      <c r="CG148" s="74"/>
      <c r="CH148" s="74"/>
      <c r="CI148" s="74"/>
      <c r="CJ148" s="74"/>
      <c r="CK148" s="74"/>
      <c r="CL148" s="74"/>
      <c r="CM148" s="74"/>
      <c r="CN148" s="74"/>
      <c r="CO148" s="74"/>
      <c r="CP148" s="74"/>
      <c r="CQ148" s="74"/>
      <c r="CR148" s="74"/>
      <c r="CS148" s="74"/>
      <c r="CT148" s="74"/>
      <c r="CU148" s="74"/>
      <c r="CV148" s="74"/>
      <c r="CW148" s="74"/>
      <c r="CX148" s="74"/>
      <c r="CY148" s="74"/>
      <c r="CZ148" s="74"/>
      <c r="DA148" s="74"/>
      <c r="DB148" s="74"/>
      <c r="DC148" s="74"/>
      <c r="DD148" s="74"/>
      <c r="DE148" s="74"/>
      <c r="DF148" s="74"/>
      <c r="DG148" s="74"/>
      <c r="DH148" s="74"/>
      <c r="DI148" s="74"/>
      <c r="DJ148" s="74"/>
      <c r="DK148" s="74"/>
      <c r="DL148" s="74"/>
      <c r="DM148" s="74"/>
      <c r="DN148" s="74"/>
      <c r="DO148" s="74"/>
      <c r="DP148" s="74"/>
      <c r="DQ148" s="74"/>
      <c r="DR148" s="74"/>
      <c r="DS148" s="74"/>
      <c r="DT148" s="74"/>
      <c r="DU148" s="74"/>
      <c r="DV148" s="74"/>
      <c r="DW148" s="74"/>
      <c r="DX148" s="74"/>
      <c r="DY148" s="74"/>
      <c r="DZ148" s="74"/>
      <c r="EA148" s="74"/>
      <c r="EB148" s="74"/>
      <c r="EC148" s="74"/>
      <c r="ED148" s="74"/>
      <c r="EE148" s="74"/>
      <c r="EF148" s="74"/>
      <c r="EG148" s="74"/>
      <c r="EH148" s="74"/>
      <c r="EI148" s="74"/>
      <c r="EJ148" s="74"/>
      <c r="EK148" s="74"/>
      <c r="EL148" s="74"/>
      <c r="EM148" s="74"/>
      <c r="EN148" s="74"/>
      <c r="EO148" s="74"/>
      <c r="EP148" s="74"/>
      <c r="EQ148" s="74"/>
      <c r="ER148" s="74"/>
      <c r="ES148" s="74"/>
    </row>
    <row r="149" spans="1:149" s="74" customFormat="1" ht="15.75" thickBot="1">
      <c r="A149" s="231"/>
      <c r="B149" s="232"/>
      <c r="C149" s="50" t="s">
        <v>20</v>
      </c>
      <c r="D149" s="297"/>
      <c r="E149" s="262"/>
      <c r="F149" s="263"/>
      <c r="G149" s="262"/>
      <c r="H149" s="264"/>
      <c r="I149" s="262"/>
      <c r="J149" s="262"/>
      <c r="K149" s="262"/>
      <c r="L149" s="262"/>
      <c r="M149" s="262"/>
      <c r="N149" s="265"/>
      <c r="O149" s="247">
        <f>+O148+O147</f>
        <v>6381.3526783530615</v>
      </c>
      <c r="R149" s="39"/>
      <c r="S149" s="39"/>
      <c r="T149" s="39"/>
      <c r="U149" s="39"/>
      <c r="X149" s="86"/>
    </row>
    <row r="150" spans="1:149" s="54" customFormat="1" ht="19.5" customHeight="1">
      <c r="A150" s="47"/>
      <c r="B150" s="63"/>
      <c r="C150" s="64"/>
      <c r="D150" s="45"/>
      <c r="E150" s="45"/>
      <c r="F150" s="44"/>
      <c r="G150" s="45"/>
      <c r="H150" s="46"/>
      <c r="I150" s="45"/>
      <c r="J150" s="45"/>
      <c r="K150" s="45"/>
      <c r="L150" s="45"/>
      <c r="M150" s="45"/>
      <c r="N150" s="47"/>
      <c r="O150" s="65"/>
      <c r="Q150" s="65"/>
      <c r="R150" s="39"/>
      <c r="S150" s="39"/>
      <c r="T150" s="39"/>
      <c r="U150" s="39"/>
      <c r="V150" s="74"/>
      <c r="W150" s="74"/>
      <c r="X150" s="86"/>
      <c r="Y150" s="74"/>
      <c r="Z150" s="74"/>
      <c r="AA150" s="74"/>
      <c r="AB150" s="74"/>
      <c r="AC150" s="74"/>
      <c r="AD150" s="74"/>
      <c r="AE150" s="74"/>
      <c r="AF150" s="74"/>
      <c r="AG150" s="74"/>
      <c r="AH150" s="74"/>
      <c r="AI150" s="74"/>
      <c r="AJ150" s="74"/>
      <c r="AK150" s="74"/>
      <c r="AL150" s="74"/>
      <c r="AM150" s="74"/>
      <c r="AN150" s="74"/>
      <c r="AO150" s="74"/>
      <c r="AP150" s="74"/>
      <c r="AQ150" s="74"/>
      <c r="AR150" s="74"/>
      <c r="AS150" s="74"/>
      <c r="AT150" s="74"/>
      <c r="AU150" s="74"/>
      <c r="AV150" s="74"/>
      <c r="AW150" s="74"/>
      <c r="AX150" s="74"/>
      <c r="AY150" s="74"/>
      <c r="AZ150" s="74"/>
      <c r="BA150" s="74"/>
      <c r="BB150" s="74"/>
      <c r="BC150" s="74"/>
      <c r="BD150" s="74"/>
      <c r="BE150" s="74"/>
      <c r="BF150" s="74"/>
      <c r="BG150" s="74"/>
      <c r="BH150" s="74"/>
      <c r="BI150" s="74"/>
      <c r="BJ150" s="74"/>
      <c r="BK150" s="74"/>
      <c r="BL150" s="74"/>
      <c r="BM150" s="74"/>
      <c r="BN150" s="74"/>
      <c r="BO150" s="74"/>
      <c r="BP150" s="74"/>
      <c r="BQ150" s="74"/>
      <c r="BR150" s="74"/>
      <c r="BS150" s="74"/>
      <c r="BT150" s="74"/>
      <c r="BU150" s="74"/>
      <c r="BV150" s="74"/>
      <c r="BW150" s="74"/>
      <c r="BX150" s="74"/>
      <c r="BY150" s="74"/>
      <c r="BZ150" s="74"/>
      <c r="CA150" s="74"/>
      <c r="CB150" s="74"/>
      <c r="CC150" s="74"/>
      <c r="CD150" s="74"/>
      <c r="CE150" s="74"/>
      <c r="CF150" s="74"/>
      <c r="CG150" s="74"/>
      <c r="CH150" s="74"/>
      <c r="CI150" s="74"/>
      <c r="CJ150" s="74"/>
      <c r="CK150" s="74"/>
      <c r="CL150" s="74"/>
      <c r="CM150" s="74"/>
      <c r="CN150" s="74"/>
      <c r="CO150" s="74"/>
      <c r="CP150" s="74"/>
      <c r="CQ150" s="74"/>
      <c r="CR150" s="74"/>
      <c r="CS150" s="74"/>
      <c r="CT150" s="74"/>
      <c r="CU150" s="74"/>
      <c r="CV150" s="74"/>
      <c r="CW150" s="74"/>
      <c r="CX150" s="74"/>
      <c r="CY150" s="74"/>
      <c r="CZ150" s="74"/>
      <c r="DA150" s="74"/>
      <c r="DB150" s="74"/>
      <c r="DC150" s="74"/>
      <c r="DD150" s="74"/>
      <c r="DE150" s="74"/>
      <c r="DF150" s="74"/>
      <c r="DG150" s="74"/>
      <c r="DH150" s="74"/>
      <c r="DI150" s="74"/>
      <c r="DJ150" s="74"/>
      <c r="DK150" s="74"/>
      <c r="DL150" s="74"/>
      <c r="DM150" s="74"/>
      <c r="DN150" s="74"/>
      <c r="DO150" s="74"/>
      <c r="DP150" s="74"/>
      <c r="DQ150" s="74"/>
      <c r="DR150" s="74"/>
      <c r="DS150" s="74"/>
      <c r="DT150" s="74"/>
      <c r="DU150" s="74"/>
      <c r="DV150" s="74"/>
      <c r="DW150" s="74"/>
      <c r="DX150" s="74"/>
      <c r="DY150" s="74"/>
      <c r="DZ150" s="74"/>
      <c r="EA150" s="74"/>
      <c r="EB150" s="74"/>
      <c r="EC150" s="74"/>
      <c r="ED150" s="74"/>
      <c r="EE150" s="74"/>
      <c r="EF150" s="74"/>
      <c r="EG150" s="74"/>
      <c r="EH150" s="74"/>
      <c r="EI150" s="74"/>
      <c r="EJ150" s="74"/>
      <c r="EK150" s="74"/>
      <c r="EL150" s="74"/>
      <c r="EM150" s="74"/>
      <c r="EN150" s="74"/>
      <c r="EO150" s="74"/>
      <c r="EP150" s="74"/>
      <c r="EQ150" s="74"/>
      <c r="ER150" s="74"/>
      <c r="ES150" s="74"/>
    </row>
    <row r="151" spans="1:149" s="54" customFormat="1" ht="1.5" customHeight="1">
      <c r="A151" s="47"/>
      <c r="B151" s="63"/>
      <c r="C151" s="64"/>
      <c r="D151" s="45"/>
      <c r="E151" s="45"/>
      <c r="F151" s="44"/>
      <c r="G151" s="45"/>
      <c r="H151" s="46"/>
      <c r="I151" s="45"/>
      <c r="J151" s="45"/>
      <c r="K151" s="45"/>
      <c r="L151" s="45"/>
      <c r="M151" s="45"/>
      <c r="N151" s="47"/>
      <c r="O151" s="65"/>
      <c r="Q151" s="65"/>
      <c r="R151" s="39"/>
      <c r="S151" s="39"/>
      <c r="T151" s="39"/>
      <c r="U151" s="39"/>
      <c r="V151" s="74"/>
      <c r="W151" s="74"/>
      <c r="X151" s="86"/>
      <c r="Y151" s="74"/>
      <c r="Z151" s="74"/>
      <c r="AA151" s="74"/>
      <c r="AB151" s="74"/>
      <c r="AC151" s="74"/>
      <c r="AD151" s="74"/>
      <c r="AE151" s="74"/>
      <c r="AF151" s="74"/>
      <c r="AG151" s="74"/>
      <c r="AH151" s="74"/>
      <c r="AI151" s="74"/>
      <c r="AJ151" s="74"/>
      <c r="AK151" s="74"/>
      <c r="AL151" s="74"/>
      <c r="AM151" s="74"/>
      <c r="AN151" s="74"/>
      <c r="AO151" s="74"/>
      <c r="AP151" s="74"/>
      <c r="AQ151" s="74"/>
      <c r="AR151" s="74"/>
      <c r="AS151" s="74"/>
      <c r="AT151" s="74"/>
      <c r="AU151" s="74"/>
      <c r="AV151" s="74"/>
      <c r="AW151" s="74"/>
      <c r="AX151" s="74"/>
      <c r="AY151" s="74"/>
      <c r="AZ151" s="74"/>
      <c r="BA151" s="74"/>
      <c r="BB151" s="74"/>
      <c r="BC151" s="74"/>
      <c r="BD151" s="74"/>
      <c r="BE151" s="74"/>
      <c r="BF151" s="74"/>
      <c r="BG151" s="74"/>
      <c r="BH151" s="74"/>
      <c r="BI151" s="74"/>
      <c r="BJ151" s="74"/>
      <c r="BK151" s="74"/>
      <c r="BL151" s="74"/>
      <c r="BM151" s="74"/>
      <c r="BN151" s="74"/>
      <c r="BO151" s="74"/>
      <c r="BP151" s="74"/>
      <c r="BQ151" s="74"/>
      <c r="BR151" s="74"/>
      <c r="BS151" s="74"/>
      <c r="BT151" s="74"/>
      <c r="BU151" s="74"/>
      <c r="BV151" s="74"/>
      <c r="BW151" s="74"/>
      <c r="BX151" s="74"/>
      <c r="BY151" s="74"/>
      <c r="BZ151" s="74"/>
      <c r="CA151" s="74"/>
      <c r="CB151" s="74"/>
      <c r="CC151" s="74"/>
      <c r="CD151" s="74"/>
      <c r="CE151" s="74"/>
      <c r="CF151" s="74"/>
      <c r="CG151" s="74"/>
      <c r="CH151" s="74"/>
      <c r="CI151" s="74"/>
      <c r="CJ151" s="74"/>
      <c r="CK151" s="74"/>
      <c r="CL151" s="74"/>
      <c r="CM151" s="74"/>
      <c r="CN151" s="74"/>
      <c r="CO151" s="74"/>
      <c r="CP151" s="74"/>
      <c r="CQ151" s="74"/>
      <c r="CR151" s="74"/>
      <c r="CS151" s="74"/>
      <c r="CT151" s="74"/>
      <c r="CU151" s="74"/>
      <c r="CV151" s="74"/>
      <c r="CW151" s="74"/>
      <c r="CX151" s="74"/>
      <c r="CY151" s="74"/>
      <c r="CZ151" s="74"/>
      <c r="DA151" s="74"/>
      <c r="DB151" s="74"/>
      <c r="DC151" s="74"/>
      <c r="DD151" s="74"/>
      <c r="DE151" s="74"/>
      <c r="DF151" s="74"/>
      <c r="DG151" s="74"/>
      <c r="DH151" s="74"/>
      <c r="DI151" s="74"/>
      <c r="DJ151" s="74"/>
      <c r="DK151" s="74"/>
      <c r="DL151" s="74"/>
      <c r="DM151" s="74"/>
      <c r="DN151" s="74"/>
      <c r="DO151" s="74"/>
      <c r="DP151" s="74"/>
      <c r="DQ151" s="74"/>
      <c r="DR151" s="74"/>
      <c r="DS151" s="74"/>
      <c r="DT151" s="74"/>
      <c r="DU151" s="74"/>
      <c r="DV151" s="74"/>
      <c r="DW151" s="74"/>
      <c r="DX151" s="74"/>
      <c r="DY151" s="74"/>
      <c r="DZ151" s="74"/>
      <c r="EA151" s="74"/>
      <c r="EB151" s="74"/>
      <c r="EC151" s="74"/>
      <c r="ED151" s="74"/>
      <c r="EE151" s="74"/>
      <c r="EF151" s="74"/>
      <c r="EG151" s="74"/>
      <c r="EH151" s="74"/>
      <c r="EI151" s="74"/>
      <c r="EJ151" s="74"/>
      <c r="EK151" s="74"/>
      <c r="EL151" s="74"/>
      <c r="EM151" s="74"/>
      <c r="EN151" s="74"/>
      <c r="EO151" s="74"/>
      <c r="EP151" s="74"/>
      <c r="EQ151" s="74"/>
      <c r="ER151" s="74"/>
      <c r="ES151" s="74"/>
    </row>
    <row r="152" spans="1:149" s="54" customFormat="1" ht="19.5" customHeight="1">
      <c r="A152" s="47"/>
      <c r="B152" s="63"/>
      <c r="C152" s="64"/>
      <c r="D152" s="45"/>
      <c r="E152" s="45"/>
      <c r="F152" s="44"/>
      <c r="G152" s="45"/>
      <c r="H152" s="46"/>
      <c r="I152" s="45"/>
      <c r="J152" s="45"/>
      <c r="K152" s="45"/>
      <c r="L152" s="45"/>
      <c r="M152" s="45"/>
      <c r="N152" s="47"/>
      <c r="O152" s="65"/>
      <c r="Q152" s="65"/>
      <c r="R152" s="39"/>
      <c r="S152" s="39"/>
      <c r="T152" s="39"/>
      <c r="U152" s="39"/>
      <c r="V152" s="74"/>
      <c r="W152" s="74"/>
      <c r="X152" s="86"/>
      <c r="Y152" s="74"/>
      <c r="Z152" s="74"/>
      <c r="AA152" s="74"/>
      <c r="AB152" s="74"/>
      <c r="AC152" s="74"/>
      <c r="AD152" s="74"/>
      <c r="AE152" s="74"/>
      <c r="AF152" s="74"/>
      <c r="AG152" s="74"/>
      <c r="AH152" s="74"/>
      <c r="AI152" s="74"/>
      <c r="AJ152" s="74"/>
      <c r="AK152" s="74"/>
      <c r="AL152" s="74"/>
      <c r="AM152" s="74"/>
      <c r="AN152" s="74"/>
      <c r="AO152" s="74"/>
      <c r="AP152" s="74"/>
      <c r="AQ152" s="74"/>
      <c r="AR152" s="74"/>
      <c r="AS152" s="74"/>
      <c r="AT152" s="74"/>
      <c r="AU152" s="74"/>
      <c r="AV152" s="74"/>
      <c r="AW152" s="74"/>
      <c r="AX152" s="74"/>
      <c r="AY152" s="74"/>
      <c r="AZ152" s="74"/>
      <c r="BA152" s="74"/>
      <c r="BB152" s="74"/>
      <c r="BC152" s="74"/>
      <c r="BD152" s="74"/>
      <c r="BE152" s="74"/>
      <c r="BF152" s="74"/>
      <c r="BG152" s="74"/>
      <c r="BH152" s="74"/>
      <c r="BI152" s="74"/>
      <c r="BJ152" s="74"/>
      <c r="BK152" s="74"/>
      <c r="BL152" s="74"/>
      <c r="BM152" s="74"/>
      <c r="BN152" s="74"/>
      <c r="BO152" s="74"/>
      <c r="BP152" s="74"/>
      <c r="BQ152" s="74"/>
      <c r="BR152" s="74"/>
      <c r="BS152" s="74"/>
      <c r="BT152" s="74"/>
      <c r="BU152" s="74"/>
      <c r="BV152" s="74"/>
      <c r="BW152" s="74"/>
      <c r="BX152" s="74"/>
      <c r="BY152" s="74"/>
      <c r="BZ152" s="74"/>
      <c r="CA152" s="74"/>
      <c r="CB152" s="74"/>
      <c r="CC152" s="74"/>
      <c r="CD152" s="74"/>
      <c r="CE152" s="74"/>
      <c r="CF152" s="74"/>
      <c r="CG152" s="74"/>
      <c r="CH152" s="74"/>
      <c r="CI152" s="74"/>
      <c r="CJ152" s="74"/>
      <c r="CK152" s="74"/>
      <c r="CL152" s="74"/>
      <c r="CM152" s="74"/>
      <c r="CN152" s="74"/>
      <c r="CO152" s="74"/>
      <c r="CP152" s="74"/>
      <c r="CQ152" s="74"/>
      <c r="CR152" s="74"/>
      <c r="CS152" s="74"/>
      <c r="CT152" s="74"/>
      <c r="CU152" s="74"/>
      <c r="CV152" s="74"/>
      <c r="CW152" s="74"/>
      <c r="CX152" s="74"/>
      <c r="CY152" s="74"/>
      <c r="CZ152" s="74"/>
      <c r="DA152" s="74"/>
      <c r="DB152" s="74"/>
      <c r="DC152" s="74"/>
      <c r="DD152" s="74"/>
      <c r="DE152" s="74"/>
      <c r="DF152" s="74"/>
      <c r="DG152" s="74"/>
      <c r="DH152" s="74"/>
      <c r="DI152" s="74"/>
      <c r="DJ152" s="74"/>
      <c r="DK152" s="74"/>
      <c r="DL152" s="74"/>
      <c r="DM152" s="74"/>
      <c r="DN152" s="74"/>
      <c r="DO152" s="74"/>
      <c r="DP152" s="74"/>
      <c r="DQ152" s="74"/>
      <c r="DR152" s="74"/>
      <c r="DS152" s="74"/>
      <c r="DT152" s="74"/>
      <c r="DU152" s="74"/>
      <c r="DV152" s="74"/>
      <c r="DW152" s="74"/>
      <c r="DX152" s="74"/>
      <c r="DY152" s="74"/>
      <c r="DZ152" s="74"/>
      <c r="EA152" s="74"/>
      <c r="EB152" s="74"/>
      <c r="EC152" s="74"/>
      <c r="ED152" s="74"/>
      <c r="EE152" s="74"/>
      <c r="EF152" s="74"/>
      <c r="EG152" s="74"/>
      <c r="EH152" s="74"/>
      <c r="EI152" s="74"/>
      <c r="EJ152" s="74"/>
      <c r="EK152" s="74"/>
      <c r="EL152" s="74"/>
      <c r="EM152" s="74"/>
      <c r="EN152" s="74"/>
      <c r="EO152" s="74"/>
      <c r="EP152" s="74"/>
      <c r="EQ152" s="74"/>
      <c r="ER152" s="74"/>
      <c r="ES152" s="74"/>
    </row>
    <row r="153" spans="1:149" s="70" customFormat="1" ht="15">
      <c r="A153" s="66"/>
      <c r="B153" s="63"/>
      <c r="C153" s="94"/>
      <c r="D153" s="66"/>
      <c r="E153" s="69" t="s">
        <v>106</v>
      </c>
      <c r="F153" s="66"/>
      <c r="G153" s="66"/>
      <c r="H153" s="66"/>
      <c r="I153" s="66"/>
      <c r="J153" s="45"/>
      <c r="K153" s="66"/>
      <c r="L153" s="66"/>
      <c r="M153" s="66"/>
      <c r="N153" s="66"/>
      <c r="O153" s="67"/>
      <c r="P153" s="68"/>
      <c r="Q153" s="69"/>
      <c r="R153" s="69"/>
      <c r="S153" s="69"/>
      <c r="T153" s="66"/>
      <c r="U153" s="66"/>
      <c r="V153" s="66"/>
      <c r="W153" s="69"/>
      <c r="X153" s="69"/>
      <c r="Y153" s="69"/>
      <c r="Z153" s="66"/>
      <c r="AA153" s="66"/>
      <c r="AB153" s="66"/>
    </row>
    <row r="154" spans="1:149" s="54" customFormat="1" ht="19.5" customHeight="1">
      <c r="A154" s="47"/>
      <c r="B154" s="63"/>
      <c r="C154" s="64"/>
      <c r="D154" s="45"/>
      <c r="E154" s="45"/>
      <c r="F154" s="44"/>
      <c r="G154" s="45"/>
      <c r="H154" s="46"/>
      <c r="I154" s="45"/>
      <c r="J154" s="45"/>
      <c r="K154" s="45"/>
      <c r="L154" s="45"/>
      <c r="M154" s="45"/>
      <c r="N154" s="47"/>
      <c r="O154" s="65"/>
      <c r="Q154" s="65"/>
      <c r="R154" s="39"/>
      <c r="S154" s="39"/>
      <c r="T154" s="39"/>
      <c r="U154" s="39"/>
      <c r="V154" s="74"/>
      <c r="W154" s="74"/>
      <c r="X154" s="86"/>
      <c r="Y154" s="74"/>
      <c r="Z154" s="74"/>
      <c r="AA154" s="74"/>
      <c r="AB154" s="74"/>
      <c r="AC154" s="74"/>
      <c r="AD154" s="74"/>
      <c r="AE154" s="74"/>
      <c r="AF154" s="74"/>
      <c r="AG154" s="74"/>
      <c r="AH154" s="74"/>
      <c r="AI154" s="74"/>
      <c r="AJ154" s="74"/>
      <c r="AK154" s="74"/>
      <c r="AL154" s="74"/>
      <c r="AM154" s="74"/>
      <c r="AN154" s="74"/>
      <c r="AO154" s="74"/>
      <c r="AP154" s="74"/>
      <c r="AQ154" s="74"/>
      <c r="AR154" s="74"/>
      <c r="AS154" s="74"/>
      <c r="AT154" s="74"/>
      <c r="AU154" s="74"/>
      <c r="AV154" s="74"/>
      <c r="AW154" s="74"/>
      <c r="AX154" s="74"/>
      <c r="AY154" s="74"/>
      <c r="AZ154" s="74"/>
      <c r="BA154" s="74"/>
      <c r="BB154" s="74"/>
      <c r="BC154" s="74"/>
      <c r="BD154" s="74"/>
      <c r="BE154" s="74"/>
      <c r="BF154" s="74"/>
      <c r="BG154" s="74"/>
      <c r="BH154" s="74"/>
      <c r="BI154" s="74"/>
      <c r="BJ154" s="74"/>
      <c r="BK154" s="74"/>
      <c r="BL154" s="74"/>
      <c r="BM154" s="74"/>
      <c r="BN154" s="74"/>
      <c r="BO154" s="74"/>
      <c r="BP154" s="74"/>
      <c r="BQ154" s="74"/>
      <c r="BR154" s="74"/>
      <c r="BS154" s="74"/>
      <c r="BT154" s="74"/>
      <c r="BU154" s="74"/>
      <c r="BV154" s="74"/>
      <c r="BW154" s="74"/>
      <c r="BX154" s="74"/>
      <c r="BY154" s="74"/>
      <c r="BZ154" s="74"/>
      <c r="CA154" s="74"/>
      <c r="CB154" s="74"/>
      <c r="CC154" s="74"/>
      <c r="CD154" s="74"/>
      <c r="CE154" s="74"/>
      <c r="CF154" s="74"/>
      <c r="CG154" s="74"/>
      <c r="CH154" s="74"/>
      <c r="CI154" s="74"/>
      <c r="CJ154" s="74"/>
      <c r="CK154" s="74"/>
      <c r="CL154" s="74"/>
      <c r="CM154" s="74"/>
      <c r="CN154" s="74"/>
      <c r="CO154" s="74"/>
      <c r="CP154" s="74"/>
      <c r="CQ154" s="74"/>
      <c r="CR154" s="74"/>
      <c r="CS154" s="74"/>
      <c r="CT154" s="74"/>
      <c r="CU154" s="74"/>
      <c r="CV154" s="74"/>
      <c r="CW154" s="74"/>
      <c r="CX154" s="74"/>
      <c r="CY154" s="74"/>
      <c r="CZ154" s="74"/>
      <c r="DA154" s="74"/>
      <c r="DB154" s="74"/>
      <c r="DC154" s="74"/>
      <c r="DD154" s="74"/>
      <c r="DE154" s="74"/>
      <c r="DF154" s="74"/>
      <c r="DG154" s="74"/>
      <c r="DH154" s="74"/>
      <c r="DI154" s="74"/>
      <c r="DJ154" s="74"/>
      <c r="DK154" s="74"/>
      <c r="DL154" s="74"/>
      <c r="DM154" s="74"/>
      <c r="DN154" s="74"/>
      <c r="DO154" s="74"/>
      <c r="DP154" s="74"/>
      <c r="DQ154" s="74"/>
      <c r="DR154" s="74"/>
      <c r="DS154" s="74"/>
      <c r="DT154" s="74"/>
      <c r="DU154" s="74"/>
      <c r="DV154" s="74"/>
      <c r="DW154" s="74"/>
      <c r="DX154" s="74"/>
      <c r="DY154" s="74"/>
      <c r="DZ154" s="74"/>
      <c r="EA154" s="74"/>
      <c r="EB154" s="74"/>
      <c r="EC154" s="74"/>
      <c r="ED154" s="74"/>
      <c r="EE154" s="74"/>
      <c r="EF154" s="74"/>
      <c r="EG154" s="74"/>
      <c r="EH154" s="74"/>
      <c r="EI154" s="74"/>
      <c r="EJ154" s="74"/>
      <c r="EK154" s="74"/>
      <c r="EL154" s="74"/>
      <c r="EM154" s="74"/>
      <c r="EN154" s="74"/>
      <c r="EO154" s="74"/>
      <c r="EP154" s="74"/>
      <c r="EQ154" s="74"/>
      <c r="ER154" s="74"/>
      <c r="ES154" s="74"/>
    </row>
    <row r="155" spans="1:149">
      <c r="E155" s="298"/>
      <c r="F155" s="298"/>
      <c r="G155" s="298"/>
      <c r="H155" s="298"/>
      <c r="I155" s="298"/>
    </row>
    <row r="156" spans="1:149">
      <c r="E156" s="298"/>
      <c r="F156" s="298"/>
      <c r="G156" s="298"/>
      <c r="H156" s="298"/>
      <c r="I156" s="298"/>
    </row>
  </sheetData>
  <mergeCells count="11">
    <mergeCell ref="A14:A16"/>
    <mergeCell ref="B14:B16"/>
    <mergeCell ref="C14:C16"/>
    <mergeCell ref="D14:D16"/>
    <mergeCell ref="E14:E16"/>
    <mergeCell ref="O14:O16"/>
    <mergeCell ref="J15:J16"/>
    <mergeCell ref="K15:K16"/>
    <mergeCell ref="L15:L16"/>
    <mergeCell ref="M15:M16"/>
    <mergeCell ref="N15:N16"/>
  </mergeCells>
  <pageMargins left="0.11811023622047245" right="7.874015748031496E-2" top="0.51181102362204722" bottom="0.27559055118110237" header="0.51181102362204722" footer="0.27559055118110237"/>
  <pageSetup scale="90" orientation="landscape" horizontalDpi="300" verticalDpi="300" r:id="rId1"/>
  <headerFooter alignWithMargins="0"/>
  <rowBreaks count="1" manualBreakCount="1">
    <brk id="13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SUMMARY   </vt:lpstr>
      <vt:lpstr>Smeta</vt:lpstr>
      <vt:lpstr>Smeta!Заголовки_для_печати</vt:lpstr>
      <vt:lpstr>'SUMMARY   '!Заголовки_для_печати</vt:lpstr>
      <vt:lpstr>Smeta!Область_печати</vt:lpstr>
      <vt:lpstr>'SUMMARY  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2022-03-27T04:36:23Z</cp:lastPrinted>
  <dcterms:created xsi:type="dcterms:W3CDTF">1996-10-08T23:32:33Z</dcterms:created>
  <dcterms:modified xsi:type="dcterms:W3CDTF">2022-04-29T12:51:56Z</dcterms:modified>
</cp:coreProperties>
</file>